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activeTab="0"/>
  </bookViews>
  <sheets>
    <sheet name="мун.задание" sheetId="1" r:id="rId1"/>
    <sheet name="таблица вспом" sheetId="2" r:id="rId2"/>
    <sheet name="пр.1+2 " sheetId="3" r:id="rId3"/>
    <sheet name="пр.3" sheetId="4" r:id="rId4"/>
    <sheet name="пр.4" sheetId="5" r:id="rId5"/>
    <sheet name="пр.5" sheetId="6" r:id="rId6"/>
    <sheet name="пр.6" sheetId="7" r:id="rId7"/>
    <sheet name="свод" sheetId="8" r:id="rId8"/>
    <sheet name="проверка" sheetId="9" r:id="rId9"/>
    <sheet name="1433" sheetId="10" r:id="rId10"/>
    <sheet name="касса" sheetId="11" r:id="rId11"/>
  </sheets>
  <definedNames>
    <definedName name="_xlnm.Print_Area" localSheetId="9">'1433'!$A$1:$G$186</definedName>
    <definedName name="_xlnm.Print_Area" localSheetId="10">'касса'!$A$1:$S$47</definedName>
    <definedName name="_xlnm.Print_Area" localSheetId="0">'мун.задание'!$A$1:$R$236</definedName>
    <definedName name="_xlnm.Print_Area" localSheetId="2">'пр.1+2 '!$A$1:$G$68</definedName>
    <definedName name="_xlnm.Print_Area" localSheetId="7">'свод'!$A$1:$F$140</definedName>
    <definedName name="_xlnm.Print_Area" localSheetId="1">'таблица вспом'!$A$1:$S$45</definedName>
  </definedNames>
  <calcPr fullCalcOnLoad="1"/>
</workbook>
</file>

<file path=xl/comments3.xml><?xml version="1.0" encoding="utf-8"?>
<comments xmlns="http://schemas.openxmlformats.org/spreadsheetml/2006/main">
  <authors>
    <author>Кочнева Юлия</author>
  </authors>
  <commentList>
    <comment ref="C33" authorId="0">
      <text>
        <r>
          <rPr>
            <b/>
            <sz val="8"/>
            <rFont val="Tahoma"/>
            <family val="2"/>
          </rPr>
          <t>Кочнева Юлия:</t>
        </r>
        <r>
          <rPr>
            <sz val="8"/>
            <rFont val="Tahoma"/>
            <family val="2"/>
          </rPr>
          <t xml:space="preserve">
здесь добавлены одаренные дети
</t>
        </r>
      </text>
    </comment>
  </commentList>
</comments>
</file>

<file path=xl/sharedStrings.xml><?xml version="1.0" encoding="utf-8"?>
<sst xmlns="http://schemas.openxmlformats.org/spreadsheetml/2006/main" count="978" uniqueCount="489">
  <si>
    <t>молодые специалисты</t>
  </si>
  <si>
    <t xml:space="preserve">просроченная кредиторка местный </t>
  </si>
  <si>
    <t>просроченная кредиторка программы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</si>
  <si>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</si>
  <si>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</si>
  <si>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</si>
  <si>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</si>
  <si>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</si>
  <si>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</si>
  <si>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</si>
  <si>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</si>
  <si>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</si>
  <si>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</si>
  <si>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</si>
  <si>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</si>
  <si>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</si>
  <si>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</si>
  <si>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</si>
  <si>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</si>
  <si>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</si>
  <si>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</si>
  <si>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</si>
  <si>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</si>
  <si>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</si>
  <si>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</si>
  <si>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</si>
  <si>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</si>
  <si>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</si>
  <si>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</si>
  <si>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</si>
  <si>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</si>
  <si>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</si>
  <si>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</si>
  <si>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</si>
  <si>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</si>
  <si>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</si>
  <si>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</si>
  <si>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</si>
  <si>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</si>
  <si>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</si>
  <si>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</si>
  <si>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</si>
  <si>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</si>
  <si>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</si>
  <si>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</si>
  <si>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</si>
  <si>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</si>
  <si>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</si>
  <si>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</si>
  <si>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</si>
  <si>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</si>
  <si>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</si>
  <si>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</si>
  <si>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</si>
  <si>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</si>
  <si>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</si>
  <si>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</si>
  <si>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</si>
  <si>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</si>
  <si>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</si>
  <si>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</si>
  <si>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</si>
  <si>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</si>
  <si>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</si>
  <si>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</si>
  <si>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</si>
  <si>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</si>
  <si>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</si>
  <si>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</si>
  <si>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</si>
  <si>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</si>
  <si>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</si>
  <si>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</si>
  <si>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</si>
  <si>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</si>
  <si>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</si>
  <si>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</si>
  <si>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</si>
  <si>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</si>
  <si>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</si>
  <si>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</si>
  <si>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</si>
  <si>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</si>
  <si>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</si>
  <si>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</si>
  <si>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</si>
  <si>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</si>
  <si>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</si>
  <si>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</si>
  <si>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</si>
  <si>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</si>
  <si>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 xml:space="preserve"> 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</si>
  <si>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</si>
  <si>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</si>
  <si>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</si>
  <si>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</si>
  <si>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</si>
  <si>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</si>
  <si>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</si>
  <si>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</si>
  <si>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</si>
  <si>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</si>
  <si>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</si>
  <si>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</si>
  <si>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</si>
  <si>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</si>
  <si>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</si>
  <si>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</si>
  <si>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</si>
  <si>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</si>
  <si>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</si>
  <si>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</si>
  <si>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</si>
  <si>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</si>
  <si>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</si>
  <si>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</si>
  <si>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</si>
  <si>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</si>
  <si>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</si>
  <si>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</si>
  <si>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</si>
  <si>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</si>
  <si>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</si>
  <si>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</si>
  <si>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</si>
  <si>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</si>
  <si>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</si>
  <si>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</si>
  <si>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</si>
  <si>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</si>
  <si>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</si>
  <si>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</si>
  <si>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</si>
  <si>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</si>
  <si>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</si>
  <si>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"Школьное молоко" на период 2011-2013 годы"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</si>
  <si>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</si>
  <si>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</si>
  <si>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</si>
  <si>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</si>
  <si>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</si>
  <si>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</si>
  <si>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</si>
  <si>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</si>
  <si>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</si>
  <si>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</si>
  <si>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</si>
  <si>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</si>
  <si>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</si>
  <si>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</si>
  <si>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</si>
  <si>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КОСГУ</t>
  </si>
  <si>
    <t>месяц</t>
  </si>
  <si>
    <t>1 квартал</t>
  </si>
  <si>
    <t>2 квартал</t>
  </si>
  <si>
    <t>3 квартал</t>
  </si>
  <si>
    <t>4 квартал</t>
  </si>
  <si>
    <t>СУБВЕНЦИЯ</t>
  </si>
  <si>
    <t>МЕСТНЫЙ</t>
  </si>
  <si>
    <t>затраты на компенсационные выплаты по уходу за ребенком</t>
  </si>
  <si>
    <t xml:space="preserve">приобретение услуг связи </t>
  </si>
  <si>
    <t>Коммунальные услуги</t>
  </si>
  <si>
    <t>Услуги по вывозу мусора</t>
  </si>
  <si>
    <t>Услуги по тех.обслуживание ТС</t>
  </si>
  <si>
    <t>Услуги по дератизации</t>
  </si>
  <si>
    <t>Услуги тех.обслуживанию пожарной сигнализации</t>
  </si>
  <si>
    <t>Услуги тревожная кнопка</t>
  </si>
  <si>
    <t>Услуги по утилизация ртутосодержащих отходов</t>
  </si>
  <si>
    <t>акредитация</t>
  </si>
  <si>
    <t>Приобретение основных средств</t>
  </si>
  <si>
    <t>Приобретение материальныз запасов</t>
  </si>
  <si>
    <t>субвенция</t>
  </si>
  <si>
    <t>местные</t>
  </si>
  <si>
    <t>ВСЕГО СМЕТА</t>
  </si>
  <si>
    <t>Директор_________________________________</t>
  </si>
  <si>
    <t>Гл.бухгалтер ____________________________________</t>
  </si>
  <si>
    <t>горячее водоснабжение</t>
  </si>
  <si>
    <t>Ежемесячное денежное вознаграждение за классное руководство</t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</si>
  <si>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(ВСЕ ОСТАЛЬНЫЕ ДОЛЖНОСТИ)</t>
    </r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</si>
  <si>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(УЧИТЕЛЯ)</t>
    </r>
  </si>
  <si>
    <t>"Организация отдыха, оздоровлениt, занятости детей и подростков в городе Пензе на 2011-2015 годы"</t>
  </si>
  <si>
    <t>классное руководство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</si>
  <si>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</si>
  <si>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приложение 1</t>
  </si>
  <si>
    <t>Расчет норматива затрат, непосредственно связанных с оказанием муниципальной услуги</t>
  </si>
  <si>
    <t>Оклад с учетом k специфики</t>
  </si>
  <si>
    <t>k стимулирования</t>
  </si>
  <si>
    <t>количество месяцев</t>
  </si>
  <si>
    <t>k увеличения</t>
  </si>
  <si>
    <t>норматив</t>
  </si>
  <si>
    <t>начисления на оплату труда</t>
  </si>
  <si>
    <t>итого</t>
  </si>
  <si>
    <t xml:space="preserve">количество </t>
  </si>
  <si>
    <t>приложение 2</t>
  </si>
  <si>
    <t>Расчет норматива затрат ,непосредственно  не связанных с оказанием муниципальной услуги</t>
  </si>
  <si>
    <t>кол-во ставок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</si>
  <si>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</si>
  <si>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</si>
  <si>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</si>
  <si>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</si>
  <si>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</si>
  <si>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</si>
  <si>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</si>
  <si>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</si>
  <si>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тех.обслуживание ТС</t>
  </si>
  <si>
    <t>дератизация</t>
  </si>
  <si>
    <t>тех.обслуживание пожарной сигнализации</t>
  </si>
  <si>
    <t>Тревожная кнопка</t>
  </si>
  <si>
    <t>Утилизация ртутосодержащих отходов</t>
  </si>
  <si>
    <t>Тех.обслуживание средств радиомодема прямой связи</t>
  </si>
  <si>
    <t>обслуживание теплосчетчиков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</si>
  <si>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</si>
  <si>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</si>
  <si>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</si>
  <si>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интрнет</t>
  </si>
  <si>
    <t xml:space="preserve">приобретение транспортных услуг </t>
  </si>
  <si>
    <t>Прочие нормативные затраты на общехозяйственные нужды</t>
  </si>
  <si>
    <t>арендная плата</t>
  </si>
  <si>
    <t xml:space="preserve">приобритение материальных запасов 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</si>
  <si>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</si>
  <si>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</si>
  <si>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</si>
  <si>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</si>
  <si>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итого затрат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</si>
  <si>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</si>
  <si>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</si>
  <si>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</si>
  <si>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</si>
  <si>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</si>
  <si>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</si>
  <si>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</si>
  <si>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</si>
  <si>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</si>
  <si>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</si>
  <si>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</si>
  <si>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</si>
  <si>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</si>
  <si>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</si>
  <si>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холодное водоснабжение</t>
  </si>
  <si>
    <t>м3</t>
  </si>
  <si>
    <t>водоотведение</t>
  </si>
  <si>
    <t>тепловая  энергия</t>
  </si>
  <si>
    <t>гКал</t>
  </si>
  <si>
    <t>электрическая энергия</t>
  </si>
  <si>
    <t>кВат</t>
  </si>
  <si>
    <t>вывоз жидких бытовых отходов и объемов жидких бытовых отходов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</si>
  <si>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</si>
  <si>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</si>
  <si>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</si>
  <si>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</si>
  <si>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>Налог на имущество</t>
  </si>
  <si>
    <t>Налог на землю</t>
  </si>
  <si>
    <t>транспортный налог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</si>
  <si>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</si>
  <si>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</si>
  <si>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>Объем муниципальных услуг в натуральных показателях</t>
  </si>
  <si>
    <t xml:space="preserve">Наименование приобретаемых муниципальных услуг 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</si>
  <si>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</si>
  <si>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</si>
  <si>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</si>
  <si>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</si>
  <si>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</si>
  <si>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</si>
  <si>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</si>
  <si>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>всего</t>
  </si>
  <si>
    <t xml:space="preserve">1.1 В том числе затраты, непосредственно связанные с оказанием муниципальной услуги ( за счет бюджета города Пензы) . 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</si>
  <si>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</si>
  <si>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</si>
  <si>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</si>
  <si>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</si>
  <si>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</si>
  <si>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</si>
  <si>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</si>
  <si>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</si>
  <si>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</si>
  <si>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</si>
  <si>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</si>
  <si>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</si>
  <si>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</si>
  <si>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</si>
  <si>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</si>
  <si>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</si>
  <si>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</si>
  <si>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</si>
  <si>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</si>
  <si>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</si>
  <si>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</si>
  <si>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подготовке УУТЭ к осенне-зимнему сезону</t>
  </si>
  <si>
    <t>Работы по испытанию теплового ввода</t>
  </si>
  <si>
    <t>Работы по промывке теплового ввода</t>
  </si>
  <si>
    <t>Услуги по страхованию здания</t>
  </si>
  <si>
    <t>Услуги по обследованию дымоходов</t>
  </si>
  <si>
    <t>Работы по проверке приборов учета</t>
  </si>
  <si>
    <t>Услуги обучения электротехническому минимуму</t>
  </si>
  <si>
    <t>Услуги обучения по эксплуатации тепловых систем</t>
  </si>
  <si>
    <t>Услуги обучения пожарно-техническому минимуму</t>
  </si>
  <si>
    <t>Услуги по приобретению материалов для текущего ремонта</t>
  </si>
  <si>
    <t>Работы текущего ремонта здания и помещений</t>
  </si>
  <si>
    <t>транспортные услуги</t>
  </si>
  <si>
    <t>2.4.Прочие нормативные затраты на общехозяйственные нужды (приложение3)</t>
  </si>
  <si>
    <t>мед.осмотр сотрудников</t>
  </si>
  <si>
    <t>материальные запасы</t>
  </si>
  <si>
    <t>прочие</t>
  </si>
  <si>
    <t xml:space="preserve">Всего </t>
  </si>
  <si>
    <t xml:space="preserve">3. Затраты на содержание движимого имущества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</si>
  <si>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</si>
  <si>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</si>
  <si>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</si>
  <si>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</si>
  <si>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</si>
  <si>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</si>
  <si>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</si>
  <si>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</si>
  <si>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</si>
  <si>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Всего по учреждению</t>
  </si>
  <si>
    <t>Проверка</t>
  </si>
  <si>
    <t>ВР</t>
  </si>
  <si>
    <t>смета</t>
  </si>
  <si>
    <t>отклонение</t>
  </si>
  <si>
    <t>001</t>
  </si>
  <si>
    <t>т/обслуживание теплосчетчиков</t>
  </si>
  <si>
    <t>медосмотр</t>
  </si>
  <si>
    <t>Знаки ГТО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</si>
  <si>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</si>
  <si>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>Норматив   на   приобретение   материальных   запасов, потребляемых в процессе оказания муниципальной услуги ( за счет бюджета Пензенской области) .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</si>
  <si>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</si>
  <si>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</si>
  <si>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 xml:space="preserve">Норматив   </t>
  </si>
  <si>
    <t xml:space="preserve">Норматив  </t>
  </si>
  <si>
    <t xml:space="preserve">Расходы  </t>
  </si>
  <si>
    <t>кол-во ставок учителей</t>
  </si>
  <si>
    <t>кол-во месяцев</t>
  </si>
  <si>
    <t xml:space="preserve">кол-во 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</si>
  <si>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</si>
  <si>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</si>
  <si>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таблица для расчета заработной платы</t>
  </si>
  <si>
    <t>ФЗП в мес</t>
  </si>
  <si>
    <t>ставки</t>
  </si>
  <si>
    <t>без стимуляции</t>
  </si>
  <si>
    <t>стимуляция</t>
  </si>
  <si>
    <t>учителя</t>
  </si>
  <si>
    <t>местный</t>
  </si>
  <si>
    <t>доведение на оклады</t>
  </si>
  <si>
    <t>итог по субвенции</t>
  </si>
  <si>
    <t>итог по местному</t>
  </si>
  <si>
    <t>прочие работы и услуги</t>
  </si>
  <si>
    <t>Прочие расходы (значки ГТО)</t>
  </si>
  <si>
    <t>прочие расходы (налоги)</t>
  </si>
  <si>
    <t>работы, услуги по содержанию имущества</t>
  </si>
  <si>
    <t>Блок 1</t>
  </si>
  <si>
    <t>федеральные</t>
  </si>
  <si>
    <t>Блок 2</t>
  </si>
  <si>
    <t>Блок 3</t>
  </si>
  <si>
    <t>должно быть 0,00</t>
  </si>
  <si>
    <t xml:space="preserve">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</si>
  <si>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</si>
  <si>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</si>
  <si>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</t>
  </si>
  <si>
    <t xml:space="preserve">  Долгосрочная целевая программа "Многодетная семья, 2011-2013 годы"</t>
  </si>
  <si>
    <t xml:space="preserve">  Долгосрочная целевая программа "Школьное молоко" на период 2011-2013 годы"</t>
  </si>
  <si>
    <t xml:space="preserve"> 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</si>
  <si>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программа"Организация отдыха, оздоровлени и занятости детей и подростков(в оздоровительных лагерях с дневным пребыванием детей в период школьнх каникул"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</si>
  <si>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</si>
  <si>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</si>
  <si>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</si>
  <si>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r>
      <t>"</t>
    </r>
    <r>
      <rPr>
        <u val="single"/>
        <sz val="12"/>
        <rFont val="Times New Roman"/>
        <family val="1"/>
      </rPr>
      <t>Организация предоставления общедоступного бесплатного начального общего,   основного общего, среднего (полного) общего образования по основным общеобразовательным программам</t>
    </r>
    <r>
      <rPr>
        <sz val="12"/>
        <rFont val="Times New Roman"/>
        <family val="1"/>
      </rPr>
      <t>"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</si>
  <si>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</si>
  <si>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</si>
  <si>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</si>
  <si>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</si>
  <si>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</si>
  <si>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</si>
  <si>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</si>
  <si>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</si>
  <si>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</si>
  <si>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</si>
  <si>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</si>
  <si>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</si>
  <si>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</si>
  <si>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</si>
  <si>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</si>
  <si>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</si>
  <si>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</si>
  <si>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 xml:space="preserve">Затраты, непосредственно связанные с оказанием муниципальной услуги, за счет бюджета города Пензы
</t>
  </si>
  <si>
    <t>Затраты, непосредственно связанные с оказанием муниципальной услуги, за счет бюджета Пензенской области</t>
  </si>
  <si>
    <t xml:space="preserve">Затраты, на общехозяйственные нужды, за счет бюджета города Пензы
</t>
  </si>
  <si>
    <t>Затраты, на общехозяйственные нужды, за счет бюджета Пезенской области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</si>
  <si>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</si>
  <si>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</si>
  <si>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</si>
  <si>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 xml:space="preserve"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</si>
  <si>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</si>
  <si>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</si>
  <si>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</si>
  <si>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</si>
  <si>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</si>
  <si>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</si>
  <si>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</si>
  <si>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</si>
  <si>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</si>
  <si>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</si>
  <si>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</si>
  <si>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</si>
  <si>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Наличие жалоб на деятельность Учреждения</t>
  </si>
  <si>
    <t>Доля учащихся (от общего числа учащихся ) в Учреждении, занимающихся в кружках, секциях, учреждениях дополнительного образования</t>
  </si>
  <si>
    <t>не менее 85%</t>
  </si>
  <si>
    <t>Наличие штрафных санкций контролирующих органов (Роспотребнадзор, ГО ЧС, прокуратура) в отношении не соблюдения лицензионных требований</t>
  </si>
  <si>
    <t>Прочие расходы (госпошлина)</t>
  </si>
  <si>
    <t>Отсутствие случаев травматизма учащихся и работников Учреждения во время образовательного процесса</t>
  </si>
  <si>
    <t>Среднестатистическое отклонение фактической наполняемости классов от нормативной</t>
  </si>
  <si>
    <t>Охват учащихся организованным горячим питанием</t>
  </si>
  <si>
    <t>не менее 100%</t>
  </si>
  <si>
    <t>Доля учащихся, занимающихся в спортивных кружках и секциях</t>
  </si>
  <si>
    <t>не менее 30%</t>
  </si>
  <si>
    <t>Проведение практических занятий и тренировок по действию работников Учреждения в экстемальных ситуациях</t>
  </si>
  <si>
    <t xml:space="preserve">не менее 1 учебно-тренировочного занятия за квартал 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</si>
  <si>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</si>
  <si>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</si>
  <si>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</si>
  <si>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</si>
  <si>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</si>
  <si>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</si>
  <si>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</si>
  <si>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</si>
  <si>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</si>
  <si>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Затраты, непосредственно связанные с оказанием муниципальной услуги, за счет средств федерального бюджета</t>
  </si>
  <si>
    <t>2013 год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</si>
  <si>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</si>
  <si>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на период с</t>
    </r>
    <r>
      <rPr>
        <u val="single"/>
        <sz val="12"/>
        <rFont val="Times New Roman"/>
        <family val="1"/>
      </rPr>
      <t xml:space="preserve"> 01.01.2013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31.12.2013 г.</t>
    </r>
  </si>
  <si>
    <t>Ю.А.Голодяев</t>
  </si>
  <si>
    <t>аккредитация</t>
  </si>
  <si>
    <t>тепловая  энергия кредит.задолж.</t>
  </si>
  <si>
    <t>дератизация кредитор.задолж. за декабрь 2012г.</t>
  </si>
  <si>
    <t>вывоз мусора кредиторская задолженность за декабрь 2012г.</t>
  </si>
  <si>
    <t>тех.обслуживание ТС кредитор.задолженность за декабрь 202г.</t>
  </si>
  <si>
    <t>тех.обслуживание пожарной сигнализации кредитор.задолж. за декабрь 2012г.</t>
  </si>
  <si>
    <t>Тех.обслуживание средств радиомодема прямой связи кредитор.задолж. за декабрь 2012г.</t>
  </si>
  <si>
    <t>т/обслуживание теплосчетчиков кредитор.задолж. за декабрь 2012г.</t>
  </si>
  <si>
    <t>Электротехнические работы</t>
  </si>
  <si>
    <t>Санитарная уборка контейнерной площадки кредитор.задолж. за декабрь 2012г.</t>
  </si>
  <si>
    <t>Тревожная кнопка кредитор.задолж. за декабрь 2012г.</t>
  </si>
  <si>
    <t>Учреждение профинансировано не в полном объеме</t>
  </si>
  <si>
    <t>Муниципальное задание будет выполнено в полном объеме</t>
  </si>
  <si>
    <t>Имущество находится в удовлетворительном состоянии.</t>
  </si>
  <si>
    <t>госпошлина</t>
  </si>
  <si>
    <t>Ремонт принтера</t>
  </si>
  <si>
    <t>Проверка работоспособности пожарных кранов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</si>
  <si>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учреждений</t>
  </si>
  <si>
    <t>текущая кз за декабрь 2013г.</t>
  </si>
  <si>
    <t>норматив на компенсационные выплаты по уходу за ребенком</t>
  </si>
  <si>
    <t>Прочие работы и услуги</t>
  </si>
  <si>
    <t>Нормативные   затраты   на   приобретение   материальных   затрат, дополнительное профессиональное образование</t>
  </si>
  <si>
    <t>622</t>
  </si>
  <si>
    <t>Огнезащитная обработка деревянных конструкций</t>
  </si>
  <si>
    <t xml:space="preserve">Гл.бухгалтер </t>
  </si>
  <si>
    <t>Строительные материалы</t>
  </si>
  <si>
    <t xml:space="preserve">1.2 В том числе затраты, непосредственно связанные с оказанием муниципальной услуги ( за счет бюджета Пензенской области) . </t>
  </si>
  <si>
    <t>проверка субвенции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</si>
  <si>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</si>
  <si>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</si>
  <si>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01.01.2014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31.12.2014 г</t>
    </r>
    <r>
      <rPr>
        <sz val="11"/>
        <color indexed="8"/>
        <rFont val="Times New Roman"/>
        <family val="1"/>
      </rPr>
      <t>.</t>
    </r>
  </si>
  <si>
    <t>Определение нормативных затрат по  МБОУ СОШ № 9 г. Пензы  по месяцам.</t>
  </si>
  <si>
    <t>Миронов А.Ю.</t>
  </si>
  <si>
    <t>Лабазина Е.И.</t>
  </si>
  <si>
    <t>Директор МБОУ СОШ № 9 г. Пензы</t>
  </si>
  <si>
    <t>Главный бухгалтер</t>
  </si>
  <si>
    <r>
      <rPr>
        <sz val="11"/>
        <rFont val="Times New Roman"/>
        <family val="1"/>
      </rPr>
      <t>Наименование муниципального учреждения</t>
    </r>
    <r>
      <rPr>
        <b/>
        <sz val="12"/>
        <rFont val="Times New Roman"/>
        <family val="1"/>
      </rPr>
      <t xml:space="preserve">        </t>
    </r>
    <r>
      <rPr>
        <b/>
        <u val="single"/>
        <sz val="12"/>
        <rFont val="Times New Roman"/>
        <family val="1"/>
      </rPr>
      <t xml:space="preserve"> Муниципальное бюджетное общеобразовательное учреждение  средняя общеобразовательная школа № 9  г. Пензы</t>
    </r>
  </si>
  <si>
    <t>Директор МБОУ СОШ № 9 г. Пензы ___________________________ А.А. Горбунцов</t>
  </si>
  <si>
    <t>____________________</t>
  </si>
  <si>
    <t>Директор МБОУ СОШ № 9  г. Пензы</t>
  </si>
  <si>
    <t xml:space="preserve">Техническое обслуживание системы погодного регулирования тепловой энергии </t>
  </si>
  <si>
    <t>Проверка и ремонт теплосчетчиков</t>
  </si>
  <si>
    <t xml:space="preserve">Утилизация отходов </t>
  </si>
  <si>
    <t>Прочие (атестаты, сертификат ЭЦП)</t>
  </si>
  <si>
    <t>Электронная отчетность</t>
  </si>
  <si>
    <t>Директор МБОУ СОШ № 9 г. Пензы_________________________________</t>
  </si>
  <si>
    <t>_____________________</t>
  </si>
  <si>
    <t>кассовые расходы по  МБОУ СОШ № 9 г. Пензы по месяцам.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</si>
  <si>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средняя общеобразовательная школа № 9  г. Пензы </t>
    </r>
  </si>
  <si>
    <r>
      <t>за 12 месяцев</t>
    </r>
    <r>
      <rPr>
        <u val="single"/>
        <sz val="12"/>
        <rFont val="Times New Roman"/>
        <family val="1"/>
      </rPr>
      <t xml:space="preserve"> 2013 год</t>
    </r>
  </si>
  <si>
    <t>МБОУ СОШ № 9 г. Пензы</t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</si>
  <si>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</t>
    </r>
  </si>
  <si>
    <t>"31" декабря 2013г.</t>
  </si>
  <si>
    <t>остаток на счете на 1.01.2014</t>
  </si>
  <si>
    <t>Приложение №1</t>
  </si>
  <si>
    <t>к Положению о порядке</t>
  </si>
  <si>
    <t>формирования, организации</t>
  </si>
  <si>
    <t>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Управления образования города Пензы и обеспечение их безопасности на 2014-2016 годы"</t>
  </si>
  <si>
    <t>17.01.2014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</si>
</sst>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  <numFmt numFmtId="171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u val="single"/>
      <sz val="12"/>
      <name val="Verdana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5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11" fillId="0" borderId="14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5" fillId="0" borderId="0" xfId="52" applyAlignment="1">
      <alignment wrapText="1"/>
      <protection/>
    </xf>
    <xf numFmtId="0" fontId="15" fillId="0" borderId="0" xfId="52">
      <alignment/>
      <protection/>
    </xf>
    <xf numFmtId="0" fontId="17" fillId="0" borderId="0" xfId="52" applyFont="1" applyAlignment="1">
      <alignment wrapText="1"/>
      <protection/>
    </xf>
    <xf numFmtId="0" fontId="17" fillId="0" borderId="0" xfId="52" applyFont="1">
      <alignment/>
      <protection/>
    </xf>
    <xf numFmtId="0" fontId="18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wrapText="1"/>
      <protection/>
    </xf>
    <xf numFmtId="0" fontId="8" fillId="0" borderId="0" xfId="52" applyFont="1">
      <alignment/>
      <protection/>
    </xf>
    <xf numFmtId="0" fontId="8" fillId="0" borderId="10" xfId="52" applyFont="1" applyBorder="1" applyAlignment="1">
      <alignment wrapText="1"/>
      <protection/>
    </xf>
    <xf numFmtId="0" fontId="20" fillId="0" borderId="21" xfId="52" applyFont="1" applyBorder="1" applyAlignment="1">
      <alignment wrapText="1"/>
      <protection/>
    </xf>
    <xf numFmtId="0" fontId="8" fillId="0" borderId="22" xfId="52" applyFont="1" applyBorder="1" applyAlignment="1">
      <alignment wrapText="1"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5" xfId="52" applyFont="1" applyBorder="1" applyAlignment="1">
      <alignment wrapText="1"/>
      <protection/>
    </xf>
    <xf numFmtId="0" fontId="8" fillId="0" borderId="26" xfId="52" applyFont="1" applyBorder="1" applyAlignment="1">
      <alignment wrapText="1"/>
      <protection/>
    </xf>
    <xf numFmtId="0" fontId="15" fillId="0" borderId="0" xfId="52" applyAlignment="1">
      <alignment/>
      <protection/>
    </xf>
    <xf numFmtId="0" fontId="15" fillId="0" borderId="0" xfId="52" applyFont="1" applyAlignment="1">
      <alignment/>
      <protection/>
    </xf>
    <xf numFmtId="0" fontId="15" fillId="0" borderId="0" xfId="52" applyAlignment="1" applyProtection="1">
      <alignment/>
      <protection locked="0"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Protection="1">
      <alignment/>
      <protection locked="0"/>
    </xf>
    <xf numFmtId="0" fontId="15" fillId="0" borderId="0" xfId="52" applyProtection="1">
      <alignment/>
      <protection locked="0"/>
    </xf>
    <xf numFmtId="0" fontId="8" fillId="0" borderId="21" xfId="52" applyFont="1" applyBorder="1" applyAlignment="1">
      <alignment wrapText="1"/>
      <protection/>
    </xf>
    <xf numFmtId="0" fontId="8" fillId="0" borderId="27" xfId="52" applyFont="1" applyBorder="1" applyAlignment="1">
      <alignment wrapText="1"/>
      <protection/>
    </xf>
    <xf numFmtId="4" fontId="8" fillId="0" borderId="0" xfId="52" applyNumberFormat="1" applyFont="1" applyAlignment="1">
      <alignment wrapText="1"/>
      <protection/>
    </xf>
    <xf numFmtId="4" fontId="8" fillId="0" borderId="10" xfId="52" applyNumberFormat="1" applyFont="1" applyBorder="1" applyAlignment="1">
      <alignment wrapText="1"/>
      <protection/>
    </xf>
    <xf numFmtId="4" fontId="8" fillId="0" borderId="25" xfId="52" applyNumberFormat="1" applyFont="1" applyBorder="1" applyAlignment="1">
      <alignment wrapText="1"/>
      <protection/>
    </xf>
    <xf numFmtId="0" fontId="8" fillId="0" borderId="0" xfId="52" applyFont="1" applyBorder="1">
      <alignment/>
      <protection/>
    </xf>
    <xf numFmtId="4" fontId="8" fillId="0" borderId="28" xfId="52" applyNumberFormat="1" applyFont="1" applyBorder="1" applyAlignment="1">
      <alignment wrapText="1"/>
      <protection/>
    </xf>
    <xf numFmtId="0" fontId="8" fillId="33" borderId="10" xfId="52" applyFont="1" applyFill="1" applyBorder="1" applyAlignment="1">
      <alignment wrapText="1"/>
      <protection/>
    </xf>
    <xf numFmtId="0" fontId="8" fillId="0" borderId="0" xfId="52" applyFont="1" applyBorder="1" applyAlignment="1">
      <alignment wrapText="1"/>
      <protection/>
    </xf>
    <xf numFmtId="0" fontId="8" fillId="0" borderId="21" xfId="52" applyFont="1" applyBorder="1">
      <alignment/>
      <protection/>
    </xf>
    <xf numFmtId="0" fontId="20" fillId="0" borderId="22" xfId="52" applyFont="1" applyBorder="1" applyAlignment="1">
      <alignment wrapText="1"/>
      <protection/>
    </xf>
    <xf numFmtId="0" fontId="8" fillId="0" borderId="23" xfId="52" applyFont="1" applyBorder="1">
      <alignment/>
      <protection/>
    </xf>
    <xf numFmtId="0" fontId="8" fillId="0" borderId="24" xfId="52" applyFont="1" applyBorder="1">
      <alignment/>
      <protection/>
    </xf>
    <xf numFmtId="0" fontId="15" fillId="0" borderId="0" xfId="52" applyAlignment="1">
      <alignment horizontal="center"/>
      <protection/>
    </xf>
    <xf numFmtId="0" fontId="15" fillId="0" borderId="0" xfId="52" applyBorder="1" applyAlignment="1">
      <alignment horizontal="center"/>
      <protection/>
    </xf>
    <xf numFmtId="0" fontId="15" fillId="0" borderId="0" xfId="52" applyBorder="1">
      <alignment/>
      <protection/>
    </xf>
    <xf numFmtId="0" fontId="15" fillId="0" borderId="21" xfId="52" applyBorder="1" applyAlignment="1">
      <alignment wrapText="1"/>
      <protection/>
    </xf>
    <xf numFmtId="0" fontId="15" fillId="0" borderId="22" xfId="52" applyBorder="1" applyAlignment="1">
      <alignment wrapText="1"/>
      <protection/>
    </xf>
    <xf numFmtId="0" fontId="15" fillId="0" borderId="27" xfId="52" applyBorder="1" applyAlignment="1">
      <alignment wrapText="1"/>
      <protection/>
    </xf>
    <xf numFmtId="0" fontId="15" fillId="0" borderId="10" xfId="52" applyBorder="1">
      <alignment/>
      <protection/>
    </xf>
    <xf numFmtId="0" fontId="15" fillId="0" borderId="28" xfId="52" applyBorder="1">
      <alignment/>
      <protection/>
    </xf>
    <xf numFmtId="0" fontId="15" fillId="0" borderId="23" xfId="52" applyBorder="1" applyAlignment="1">
      <alignment wrapText="1"/>
      <protection/>
    </xf>
    <xf numFmtId="0" fontId="8" fillId="0" borderId="29" xfId="52" applyFont="1" applyBorder="1" applyAlignment="1">
      <alignment wrapText="1"/>
      <protection/>
    </xf>
    <xf numFmtId="0" fontId="15" fillId="0" borderId="24" xfId="52" applyBorder="1" applyAlignment="1">
      <alignment wrapText="1"/>
      <protection/>
    </xf>
    <xf numFmtId="0" fontId="15" fillId="0" borderId="25" xfId="52" applyBorder="1">
      <alignment/>
      <protection/>
    </xf>
    <xf numFmtId="0" fontId="15" fillId="0" borderId="26" xfId="52" applyBorder="1">
      <alignment/>
      <protection/>
    </xf>
    <xf numFmtId="0" fontId="17" fillId="0" borderId="0" xfId="52" applyFont="1" applyAlignment="1">
      <alignment horizontal="center"/>
      <protection/>
    </xf>
    <xf numFmtId="0" fontId="8" fillId="0" borderId="30" xfId="52" applyFont="1" applyBorder="1" applyAlignment="1">
      <alignment wrapText="1"/>
      <protection/>
    </xf>
    <xf numFmtId="0" fontId="8" fillId="33" borderId="23" xfId="52" applyFont="1" applyFill="1" applyBorder="1" applyAlignment="1">
      <alignment vertical="top" wrapText="1"/>
      <protection/>
    </xf>
    <xf numFmtId="0" fontId="21" fillId="0" borderId="0" xfId="52" applyFont="1" applyAlignment="1">
      <alignment wrapText="1"/>
      <protection/>
    </xf>
    <xf numFmtId="0" fontId="21" fillId="0" borderId="21" xfId="52" applyFont="1" applyBorder="1" applyAlignment="1">
      <alignment wrapText="1"/>
      <protection/>
    </xf>
    <xf numFmtId="0" fontId="21" fillId="0" borderId="31" xfId="52" applyFont="1" applyBorder="1" applyAlignment="1">
      <alignment wrapText="1"/>
      <protection/>
    </xf>
    <xf numFmtId="0" fontId="8" fillId="0" borderId="12" xfId="52" applyFont="1" applyBorder="1" applyAlignment="1">
      <alignment horizontal="center" wrapText="1"/>
      <protection/>
    </xf>
    <xf numFmtId="0" fontId="15" fillId="0" borderId="10" xfId="52" applyBorder="1" applyAlignment="1">
      <alignment horizontal="center"/>
      <protection/>
    </xf>
    <xf numFmtId="4" fontId="15" fillId="0" borderId="28" xfId="52" applyNumberForma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15" fillId="34" borderId="10" xfId="52" applyFill="1" applyBorder="1" applyAlignment="1">
      <alignment horizontal="center"/>
      <protection/>
    </xf>
    <xf numFmtId="0" fontId="8" fillId="0" borderId="32" xfId="52" applyFont="1" applyBorder="1" applyAlignment="1">
      <alignment horizontal="center" wrapText="1"/>
      <protection/>
    </xf>
    <xf numFmtId="0" fontId="15" fillId="0" borderId="25" xfId="52" applyBorder="1" applyAlignment="1">
      <alignment horizontal="center"/>
      <protection/>
    </xf>
    <xf numFmtId="4" fontId="15" fillId="0" borderId="0" xfId="52" applyNumberFormat="1">
      <alignment/>
      <protection/>
    </xf>
    <xf numFmtId="0" fontId="8" fillId="0" borderId="2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24" fillId="0" borderId="0" xfId="52" applyFont="1" applyAlignment="1">
      <alignment vertic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17" fillId="0" borderId="10" xfId="52" applyFont="1" applyBorder="1" applyAlignment="1">
      <alignment horizontal="center" wrapText="1"/>
      <protection/>
    </xf>
    <xf numFmtId="0" fontId="17" fillId="35" borderId="10" xfId="52" applyFont="1" applyFill="1" applyBorder="1" applyAlignment="1" applyProtection="1">
      <alignment horizontal="center" wrapText="1"/>
      <protection locked="0"/>
    </xf>
    <xf numFmtId="0" fontId="20" fillId="0" borderId="33" xfId="52" applyFont="1" applyBorder="1" applyAlignment="1">
      <alignment vertical="top" wrapText="1"/>
      <protection/>
    </xf>
    <xf numFmtId="0" fontId="20" fillId="0" borderId="34" xfId="52" applyFont="1" applyBorder="1" applyAlignment="1">
      <alignment vertical="top" wrapText="1"/>
      <protection/>
    </xf>
    <xf numFmtId="0" fontId="20" fillId="0" borderId="35" xfId="52" applyFont="1" applyBorder="1" applyAlignment="1">
      <alignment vertical="top" wrapText="1"/>
      <protection/>
    </xf>
    <xf numFmtId="0" fontId="20" fillId="0" borderId="21" xfId="52" applyFont="1" applyBorder="1" applyAlignment="1">
      <alignment vertical="top" wrapText="1"/>
      <protection/>
    </xf>
    <xf numFmtId="0" fontId="8" fillId="0" borderId="22" xfId="52" applyFont="1" applyBorder="1" applyAlignment="1">
      <alignment horizontal="center" vertical="top" wrapText="1"/>
      <protection/>
    </xf>
    <xf numFmtId="0" fontId="8" fillId="0" borderId="36" xfId="52" applyFont="1" applyBorder="1" applyAlignment="1">
      <alignment horizontal="center" vertical="top" wrapText="1"/>
      <protection/>
    </xf>
    <xf numFmtId="4" fontId="8" fillId="0" borderId="27" xfId="52" applyNumberFormat="1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8" fillId="0" borderId="37" xfId="52" applyFont="1" applyBorder="1" applyAlignment="1">
      <alignment horizontal="center" vertical="top" wrapText="1"/>
      <protection/>
    </xf>
    <xf numFmtId="4" fontId="8" fillId="0" borderId="38" xfId="52" applyNumberFormat="1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wrapText="1"/>
      <protection/>
    </xf>
    <xf numFmtId="0" fontId="20" fillId="36" borderId="24" xfId="52" applyFont="1" applyFill="1" applyBorder="1" applyAlignment="1">
      <alignment wrapText="1"/>
      <protection/>
    </xf>
    <xf numFmtId="0" fontId="8" fillId="36" borderId="25" xfId="52" applyFont="1" applyFill="1" applyBorder="1" applyAlignment="1">
      <alignment horizontal="center" vertical="top" wrapText="1"/>
      <protection/>
    </xf>
    <xf numFmtId="4" fontId="8" fillId="36" borderId="26" xfId="52" applyNumberFormat="1" applyFont="1" applyFill="1" applyBorder="1" applyAlignment="1">
      <alignment horizontal="center" vertical="top" wrapText="1"/>
      <protection/>
    </xf>
    <xf numFmtId="0" fontId="15" fillId="36" borderId="0" xfId="52" applyFont="1" applyFill="1">
      <alignment/>
      <protection/>
    </xf>
    <xf numFmtId="0" fontId="15" fillId="33" borderId="0" xfId="52" applyFont="1" applyFill="1">
      <alignment/>
      <protection/>
    </xf>
    <xf numFmtId="4" fontId="8" fillId="0" borderId="28" xfId="52" applyNumberFormat="1" applyFont="1" applyBorder="1" applyAlignment="1">
      <alignment horizontal="center" vertical="top" wrapText="1"/>
      <protection/>
    </xf>
    <xf numFmtId="0" fontId="20" fillId="0" borderId="29" xfId="52" applyFont="1" applyBorder="1" applyAlignment="1">
      <alignment vertical="top" wrapText="1"/>
      <protection/>
    </xf>
    <xf numFmtId="0" fontId="20" fillId="36" borderId="24" xfId="52" applyFont="1" applyFill="1" applyBorder="1" applyAlignment="1">
      <alignment vertical="top" wrapText="1"/>
      <protection/>
    </xf>
    <xf numFmtId="0" fontId="15" fillId="0" borderId="0" xfId="52" applyFill="1">
      <alignment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6" borderId="24" xfId="52" applyFont="1" applyFill="1" applyBorder="1" applyAlignment="1">
      <alignment vertical="top" wrapText="1"/>
      <protection/>
    </xf>
    <xf numFmtId="0" fontId="8" fillId="36" borderId="25" xfId="52" applyFont="1" applyFill="1" applyBorder="1" applyAlignment="1">
      <alignment vertical="top" wrapText="1"/>
      <protection/>
    </xf>
    <xf numFmtId="0" fontId="8" fillId="0" borderId="21" xfId="52" applyFont="1" applyBorder="1" applyAlignment="1">
      <alignment vertical="top" wrapText="1"/>
      <protection/>
    </xf>
    <xf numFmtId="0" fontId="8" fillId="0" borderId="27" xfId="52" applyFont="1" applyBorder="1" applyAlignment="1">
      <alignment horizontal="center" vertical="top" wrapText="1"/>
      <protection/>
    </xf>
    <xf numFmtId="0" fontId="8" fillId="0" borderId="28" xfId="52" applyFont="1" applyBorder="1" applyAlignment="1">
      <alignment vertical="top" wrapText="1"/>
      <protection/>
    </xf>
    <xf numFmtId="0" fontId="8" fillId="0" borderId="28" xfId="52" applyFont="1" applyBorder="1" applyAlignment="1">
      <alignment horizontal="center" vertical="top" wrapText="1"/>
      <protection/>
    </xf>
    <xf numFmtId="0" fontId="8" fillId="36" borderId="26" xfId="52" applyFont="1" applyFill="1" applyBorder="1" applyAlignment="1">
      <alignment horizontal="center" vertical="top" wrapText="1"/>
      <protection/>
    </xf>
    <xf numFmtId="0" fontId="8" fillId="0" borderId="22" xfId="52" applyFont="1" applyBorder="1" applyAlignment="1">
      <alignment vertical="top" wrapText="1"/>
      <protection/>
    </xf>
    <xf numFmtId="0" fontId="8" fillId="0" borderId="3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39" xfId="52" applyFont="1" applyBorder="1" applyAlignment="1">
      <alignment horizontal="center" vertical="top" wrapText="1"/>
      <protection/>
    </xf>
    <xf numFmtId="0" fontId="8" fillId="37" borderId="24" xfId="52" applyFont="1" applyFill="1" applyBorder="1" applyAlignment="1">
      <alignment vertical="top" wrapText="1"/>
      <protection/>
    </xf>
    <xf numFmtId="0" fontId="8" fillId="37" borderId="25" xfId="52" applyFont="1" applyFill="1" applyBorder="1" applyAlignment="1">
      <alignment vertical="top" wrapText="1"/>
      <protection/>
    </xf>
    <xf numFmtId="0" fontId="8" fillId="37" borderId="26" xfId="52" applyFont="1" applyFill="1" applyBorder="1" applyAlignment="1">
      <alignment horizontal="center" vertical="top" wrapText="1"/>
      <protection/>
    </xf>
    <xf numFmtId="0" fontId="15" fillId="37" borderId="0" xfId="52" applyFont="1" applyFill="1">
      <alignment/>
      <protection/>
    </xf>
    <xf numFmtId="0" fontId="8" fillId="33" borderId="21" xfId="52" applyFont="1" applyFill="1" applyBorder="1" applyAlignment="1">
      <alignment vertical="top" wrapText="1"/>
      <protection/>
    </xf>
    <xf numFmtId="0" fontId="8" fillId="33" borderId="22" xfId="52" applyFont="1" applyFill="1" applyBorder="1" applyAlignment="1">
      <alignment horizontal="center" vertical="top" wrapText="1"/>
      <protection/>
    </xf>
    <xf numFmtId="0" fontId="8" fillId="33" borderId="22" xfId="52" applyFont="1" applyFill="1" applyBorder="1" applyAlignment="1">
      <alignment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4" fontId="8" fillId="33" borderId="27" xfId="52" applyNumberFormat="1" applyFont="1" applyFill="1" applyBorder="1" applyAlignment="1">
      <alignment horizontal="center" vertical="top" wrapText="1"/>
      <protection/>
    </xf>
    <xf numFmtId="4" fontId="8" fillId="33" borderId="28" xfId="52" applyNumberFormat="1" applyFont="1" applyFill="1" applyBorder="1" applyAlignment="1">
      <alignment horizontal="center" vertical="top" wrapText="1"/>
      <protection/>
    </xf>
    <xf numFmtId="0" fontId="8" fillId="33" borderId="24" xfId="52" applyFont="1" applyFill="1" applyBorder="1" applyAlignment="1">
      <alignment vertical="top" wrapText="1"/>
      <protection/>
    </xf>
    <xf numFmtId="0" fontId="8" fillId="0" borderId="25" xfId="52" applyFont="1" applyBorder="1" applyAlignment="1">
      <alignment horizontal="center" vertical="top" wrapText="1"/>
      <protection/>
    </xf>
    <xf numFmtId="0" fontId="8" fillId="33" borderId="25" xfId="52" applyFont="1" applyFill="1" applyBorder="1" applyAlignment="1">
      <alignment vertical="top" wrapText="1"/>
      <protection/>
    </xf>
    <xf numFmtId="0" fontId="8" fillId="0" borderId="40" xfId="52" applyFont="1" applyBorder="1" applyAlignment="1">
      <alignment horizontal="center" vertical="top" wrapText="1"/>
      <protection/>
    </xf>
    <xf numFmtId="4" fontId="8" fillId="33" borderId="26" xfId="52" applyNumberFormat="1" applyFont="1" applyFill="1" applyBorder="1" applyAlignment="1">
      <alignment horizontal="center" vertical="top" wrapText="1"/>
      <protection/>
    </xf>
    <xf numFmtId="0" fontId="8" fillId="36" borderId="37" xfId="52" applyFont="1" applyFill="1" applyBorder="1" applyAlignment="1">
      <alignment vertical="top" wrapText="1"/>
      <protection/>
    </xf>
    <xf numFmtId="4" fontId="8" fillId="36" borderId="37" xfId="52" applyNumberFormat="1" applyFont="1" applyFill="1" applyBorder="1" applyAlignment="1">
      <alignment horizontal="center" vertical="top" wrapText="1"/>
      <protection/>
    </xf>
    <xf numFmtId="2" fontId="8" fillId="0" borderId="22" xfId="52" applyNumberFormat="1" applyFont="1" applyBorder="1" applyAlignment="1">
      <alignment horizontal="center" vertical="top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0" fontId="8" fillId="38" borderId="24" xfId="52" applyFont="1" applyFill="1" applyBorder="1" applyAlignment="1">
      <alignment vertical="top" wrapText="1"/>
      <protection/>
    </xf>
    <xf numFmtId="0" fontId="8" fillId="38" borderId="25" xfId="52" applyFont="1" applyFill="1" applyBorder="1" applyAlignment="1">
      <alignment horizontal="center" vertical="top" wrapText="1"/>
      <protection/>
    </xf>
    <xf numFmtId="4" fontId="8" fillId="38" borderId="26" xfId="52" applyNumberFormat="1" applyFont="1" applyFill="1" applyBorder="1" applyAlignment="1">
      <alignment horizontal="center" vertical="top" wrapText="1"/>
      <protection/>
    </xf>
    <xf numFmtId="0" fontId="8" fillId="38" borderId="25" xfId="52" applyFont="1" applyFill="1" applyBorder="1" applyAlignment="1">
      <alignment vertical="top" wrapText="1"/>
      <protection/>
    </xf>
    <xf numFmtId="0" fontId="8" fillId="39" borderId="33" xfId="52" applyFont="1" applyFill="1" applyBorder="1" applyAlignment="1">
      <alignment vertical="top" wrapText="1"/>
      <protection/>
    </xf>
    <xf numFmtId="0" fontId="8" fillId="39" borderId="34" xfId="52" applyFont="1" applyFill="1" applyBorder="1" applyAlignment="1">
      <alignment vertical="top" wrapText="1"/>
      <protection/>
    </xf>
    <xf numFmtId="4" fontId="8" fillId="39" borderId="34" xfId="52" applyNumberFormat="1" applyFont="1" applyFill="1" applyBorder="1" applyAlignment="1">
      <alignment horizontal="center" vertical="top" wrapText="1"/>
      <protection/>
    </xf>
    <xf numFmtId="4" fontId="8" fillId="39" borderId="35" xfId="52" applyNumberFormat="1" applyFont="1" applyFill="1" applyBorder="1" applyAlignment="1">
      <alignment horizontal="center" vertical="top" wrapText="1"/>
      <protection/>
    </xf>
    <xf numFmtId="0" fontId="15" fillId="39" borderId="0" xfId="52" applyFont="1" applyFill="1">
      <alignment/>
      <protection/>
    </xf>
    <xf numFmtId="10" fontId="8" fillId="0" borderId="22" xfId="52" applyNumberFormat="1" applyFont="1" applyBorder="1" applyAlignment="1">
      <alignment horizontal="center" vertical="top" wrapText="1"/>
      <protection/>
    </xf>
    <xf numFmtId="10" fontId="8" fillId="0" borderId="10" xfId="52" applyNumberFormat="1" applyFont="1" applyBorder="1" applyAlignment="1">
      <alignment horizontal="center" vertical="top" wrapText="1"/>
      <protection/>
    </xf>
    <xf numFmtId="49" fontId="8" fillId="0" borderId="23" xfId="52" applyNumberFormat="1" applyFont="1" applyBorder="1" applyAlignment="1">
      <alignment vertical="top" wrapText="1"/>
      <protection/>
    </xf>
    <xf numFmtId="0" fontId="8" fillId="40" borderId="24" xfId="52" applyFont="1" applyFill="1" applyBorder="1" applyAlignment="1">
      <alignment vertical="top" wrapText="1"/>
      <protection/>
    </xf>
    <xf numFmtId="0" fontId="8" fillId="40" borderId="25" xfId="52" applyFont="1" applyFill="1" applyBorder="1" applyAlignment="1">
      <alignment horizontal="center" vertical="top" wrapText="1"/>
      <protection/>
    </xf>
    <xf numFmtId="10" fontId="8" fillId="40" borderId="25" xfId="52" applyNumberFormat="1" applyFont="1" applyFill="1" applyBorder="1" applyAlignment="1">
      <alignment horizontal="center" vertical="top" wrapText="1"/>
      <protection/>
    </xf>
    <xf numFmtId="2" fontId="8" fillId="40" borderId="25" xfId="52" applyNumberFormat="1" applyFont="1" applyFill="1" applyBorder="1" applyAlignment="1">
      <alignment horizontal="center" vertical="top" wrapText="1"/>
      <protection/>
    </xf>
    <xf numFmtId="4" fontId="8" fillId="40" borderId="26" xfId="52" applyNumberFormat="1" applyFont="1" applyFill="1" applyBorder="1" applyAlignment="1">
      <alignment horizontal="center" vertical="top" wrapText="1"/>
      <protection/>
    </xf>
    <xf numFmtId="0" fontId="15" fillId="38" borderId="0" xfId="52" applyFont="1" applyFill="1">
      <alignment/>
      <protection/>
    </xf>
    <xf numFmtId="0" fontId="28" fillId="0" borderId="33" xfId="52" applyFont="1" applyFill="1" applyBorder="1" applyAlignment="1">
      <alignment vertical="top" wrapText="1"/>
      <protection/>
    </xf>
    <xf numFmtId="0" fontId="15" fillId="0" borderId="34" xfId="52" applyFont="1" applyBorder="1">
      <alignment/>
      <protection/>
    </xf>
    <xf numFmtId="4" fontId="28" fillId="0" borderId="34" xfId="52" applyNumberFormat="1" applyFont="1" applyBorder="1" applyAlignment="1">
      <alignment horizontal="center"/>
      <protection/>
    </xf>
    <xf numFmtId="0" fontId="28" fillId="0" borderId="34" xfId="52" applyFont="1" applyBorder="1">
      <alignment/>
      <protection/>
    </xf>
    <xf numFmtId="4" fontId="28" fillId="0" borderId="35" xfId="52" applyNumberFormat="1" applyFont="1" applyBorder="1" applyAlignment="1">
      <alignment horizontal="center"/>
      <protection/>
    </xf>
    <xf numFmtId="4" fontId="15" fillId="0" borderId="0" xfId="52" applyNumberFormat="1" applyFont="1" applyAlignment="1">
      <alignment horizontal="center"/>
      <protection/>
    </xf>
    <xf numFmtId="4" fontId="15" fillId="0" borderId="0" xfId="52" applyNumberFormat="1" applyFont="1">
      <alignment/>
      <protection/>
    </xf>
    <xf numFmtId="0" fontId="30" fillId="0" borderId="10" xfId="52" applyFont="1" applyBorder="1">
      <alignment/>
      <protection/>
    </xf>
    <xf numFmtId="4" fontId="30" fillId="0" borderId="10" xfId="52" applyNumberFormat="1" applyFont="1" applyBorder="1">
      <alignment/>
      <protection/>
    </xf>
    <xf numFmtId="4" fontId="30" fillId="0" borderId="0" xfId="52" applyNumberFormat="1" applyFont="1" applyProtection="1">
      <alignment/>
      <protection locked="0"/>
    </xf>
    <xf numFmtId="0" fontId="30" fillId="0" borderId="0" xfId="52" applyFont="1" applyProtection="1">
      <alignment/>
      <protection locked="0"/>
    </xf>
    <xf numFmtId="0" fontId="30" fillId="0" borderId="0" xfId="52" applyFont="1">
      <alignment/>
      <protection/>
    </xf>
    <xf numFmtId="4" fontId="15" fillId="0" borderId="10" xfId="52" applyNumberFormat="1" applyBorder="1">
      <alignment/>
      <protection/>
    </xf>
    <xf numFmtId="49" fontId="30" fillId="0" borderId="10" xfId="52" applyNumberFormat="1" applyFont="1" applyBorder="1" applyAlignment="1">
      <alignment horizontal="right"/>
      <protection/>
    </xf>
    <xf numFmtId="4" fontId="15" fillId="0" borderId="10" xfId="52" applyNumberFormat="1" applyFont="1" applyBorder="1">
      <alignment/>
      <protection/>
    </xf>
    <xf numFmtId="4" fontId="15" fillId="35" borderId="10" xfId="52" applyNumberFormat="1" applyFill="1" applyBorder="1" applyProtection="1">
      <alignment/>
      <protection locked="0"/>
    </xf>
    <xf numFmtId="0" fontId="8" fillId="0" borderId="0" xfId="52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8" fillId="0" borderId="28" xfId="52" applyFont="1" applyBorder="1">
      <alignment/>
      <protection/>
    </xf>
    <xf numFmtId="0" fontId="8" fillId="0" borderId="25" xfId="52" applyFont="1" applyBorder="1">
      <alignment/>
      <protection/>
    </xf>
    <xf numFmtId="0" fontId="8" fillId="0" borderId="26" xfId="52" applyFont="1" applyBorder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Fill="1">
      <alignment/>
      <protection/>
    </xf>
    <xf numFmtId="0" fontId="8" fillId="0" borderId="0" xfId="52" applyFont="1" applyProtection="1">
      <alignment/>
      <protection locked="0"/>
    </xf>
    <xf numFmtId="0" fontId="8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4" fontId="8" fillId="0" borderId="10" xfId="0" applyNumberFormat="1" applyFont="1" applyBorder="1" applyAlignment="1">
      <alignment wrapText="1"/>
    </xf>
    <xf numFmtId="0" fontId="13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/>
      <protection/>
    </xf>
    <xf numFmtId="4" fontId="8" fillId="0" borderId="10" xfId="52" applyNumberFormat="1" applyFont="1" applyFill="1" applyBorder="1" applyAlignment="1">
      <alignment wrapText="1"/>
      <protection/>
    </xf>
    <xf numFmtId="4" fontId="8" fillId="0" borderId="26" xfId="52" applyNumberFormat="1" applyFont="1" applyBorder="1" applyAlignment="1">
      <alignment wrapText="1"/>
      <protection/>
    </xf>
    <xf numFmtId="4" fontId="8" fillId="36" borderId="25" xfId="52" applyNumberFormat="1" applyFont="1" applyFill="1" applyBorder="1" applyAlignment="1">
      <alignment horizontal="center" vertical="top" wrapText="1"/>
      <protection/>
    </xf>
    <xf numFmtId="4" fontId="8" fillId="0" borderId="27" xfId="52" applyNumberFormat="1" applyFont="1" applyBorder="1" applyAlignment="1">
      <alignment horizontal="center"/>
      <protection/>
    </xf>
    <xf numFmtId="4" fontId="8" fillId="0" borderId="28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41" borderId="10" xfId="0" applyFont="1" applyFill="1" applyBorder="1" applyAlignment="1" applyProtection="1">
      <alignment/>
      <protection locked="0"/>
    </xf>
    <xf numFmtId="4" fontId="3" fillId="41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3" fillId="41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42" borderId="10" xfId="0" applyFont="1" applyFill="1" applyBorder="1" applyAlignment="1">
      <alignment/>
    </xf>
    <xf numFmtId="0" fontId="34" fillId="43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/>
      <protection locked="0"/>
    </xf>
    <xf numFmtId="4" fontId="34" fillId="0" borderId="0" xfId="0" applyNumberFormat="1" applyFont="1" applyFill="1" applyBorder="1" applyAlignment="1" applyProtection="1">
      <alignment/>
      <protection locked="0"/>
    </xf>
    <xf numFmtId="0" fontId="3" fillId="43" borderId="0" xfId="0" applyFont="1" applyFill="1" applyAlignment="1">
      <alignment/>
    </xf>
    <xf numFmtId="0" fontId="34" fillId="44" borderId="0" xfId="0" applyFont="1" applyFill="1" applyBorder="1" applyAlignment="1">
      <alignment/>
    </xf>
    <xf numFmtId="0" fontId="34" fillId="44" borderId="0" xfId="0" applyFont="1" applyFill="1" applyBorder="1" applyAlignment="1" applyProtection="1">
      <alignment/>
      <protection locked="0"/>
    </xf>
    <xf numFmtId="0" fontId="34" fillId="44" borderId="0" xfId="0" applyFont="1" applyFill="1" applyBorder="1" applyAlignment="1" applyProtection="1">
      <alignment/>
      <protection locked="0"/>
    </xf>
    <xf numFmtId="0" fontId="3" fillId="44" borderId="10" xfId="0" applyFont="1" applyFill="1" applyBorder="1" applyAlignment="1">
      <alignment/>
    </xf>
    <xf numFmtId="4" fontId="35" fillId="41" borderId="10" xfId="0" applyNumberFormat="1" applyFont="1" applyFill="1" applyBorder="1" applyAlignment="1">
      <alignment/>
    </xf>
    <xf numFmtId="4" fontId="35" fillId="44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45" borderId="0" xfId="0" applyFont="1" applyFill="1" applyAlignment="1" applyProtection="1">
      <alignment/>
      <protection locked="0"/>
    </xf>
    <xf numFmtId="4" fontId="3" fillId="4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169" fontId="13" fillId="46" borderId="10" xfId="0" applyNumberFormat="1" applyFont="1" applyFill="1" applyBorder="1" applyAlignment="1">
      <alignment horizontal="right"/>
    </xf>
    <xf numFmtId="169" fontId="8" fillId="47" borderId="10" xfId="0" applyNumberFormat="1" applyFont="1" applyFill="1" applyBorder="1" applyAlignment="1">
      <alignment/>
    </xf>
    <xf numFmtId="0" fontId="9" fillId="47" borderId="0" xfId="0" applyFont="1" applyFill="1" applyAlignment="1">
      <alignment/>
    </xf>
    <xf numFmtId="169" fontId="8" fillId="0" borderId="10" xfId="0" applyNumberFormat="1" applyFont="1" applyFill="1" applyBorder="1" applyAlignment="1">
      <alignment/>
    </xf>
    <xf numFmtId="170" fontId="9" fillId="0" borderId="0" xfId="0" applyNumberFormat="1" applyFont="1" applyFill="1" applyAlignment="1">
      <alignment/>
    </xf>
    <xf numFmtId="169" fontId="9" fillId="0" borderId="10" xfId="0" applyNumberFormat="1" applyFont="1" applyFill="1" applyBorder="1" applyAlignment="1">
      <alignment/>
    </xf>
    <xf numFmtId="169" fontId="8" fillId="47" borderId="12" xfId="0" applyNumberFormat="1" applyFont="1" applyFill="1" applyBorder="1" applyAlignment="1">
      <alignment/>
    </xf>
    <xf numFmtId="0" fontId="9" fillId="46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0" fontId="3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0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14" fontId="6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4" fontId="15" fillId="0" borderId="0" xfId="52" applyNumberFormat="1" applyFont="1" applyFill="1">
      <alignment/>
      <protection/>
    </xf>
    <xf numFmtId="0" fontId="40" fillId="0" borderId="23" xfId="52" applyFont="1" applyBorder="1" applyAlignment="1">
      <alignment wrapText="1"/>
      <protection/>
    </xf>
    <xf numFmtId="0" fontId="40" fillId="0" borderId="29" xfId="52" applyFont="1" applyBorder="1" applyAlignment="1">
      <alignment wrapText="1"/>
      <protection/>
    </xf>
    <xf numFmtId="0" fontId="8" fillId="0" borderId="40" xfId="52" applyFont="1" applyBorder="1">
      <alignment/>
      <protection/>
    </xf>
    <xf numFmtId="0" fontId="8" fillId="0" borderId="42" xfId="52" applyFont="1" applyBorder="1">
      <alignment/>
      <protection/>
    </xf>
    <xf numFmtId="0" fontId="40" fillId="0" borderId="43" xfId="52" applyFont="1" applyBorder="1" applyAlignment="1">
      <alignment wrapText="1"/>
      <protection/>
    </xf>
    <xf numFmtId="0" fontId="2" fillId="0" borderId="13" xfId="0" applyFont="1" applyBorder="1" applyAlignment="1">
      <alignment/>
    </xf>
    <xf numFmtId="0" fontId="13" fillId="0" borderId="0" xfId="52" applyFont="1" applyBorder="1" applyAlignment="1">
      <alignment wrapText="1"/>
      <protection/>
    </xf>
    <xf numFmtId="0" fontId="20" fillId="0" borderId="0" xfId="52" applyFont="1" applyBorder="1" applyAlignment="1">
      <alignment wrapText="1"/>
      <protection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wrapText="1"/>
    </xf>
    <xf numFmtId="169" fontId="9" fillId="0" borderId="0" xfId="0" applyNumberFormat="1" applyFont="1" applyFill="1" applyAlignment="1">
      <alignment/>
    </xf>
    <xf numFmtId="169" fontId="9" fillId="47" borderId="0" xfId="0" applyNumberFormat="1" applyFont="1" applyFill="1" applyAlignment="1">
      <alignment/>
    </xf>
    <xf numFmtId="0" fontId="8" fillId="0" borderId="29" xfId="52" applyFont="1" applyBorder="1">
      <alignment/>
      <protection/>
    </xf>
    <xf numFmtId="0" fontId="8" fillId="0" borderId="37" xfId="52" applyFont="1" applyBorder="1" applyAlignment="1">
      <alignment wrapText="1"/>
      <protection/>
    </xf>
    <xf numFmtId="0" fontId="15" fillId="0" borderId="13" xfId="52" applyFont="1" applyBorder="1">
      <alignment/>
      <protection/>
    </xf>
    <xf numFmtId="0" fontId="15" fillId="0" borderId="13" xfId="52" applyFont="1" applyBorder="1" applyAlignment="1">
      <alignment/>
      <protection/>
    </xf>
    <xf numFmtId="4" fontId="9" fillId="45" borderId="0" xfId="0" applyNumberFormat="1" applyFont="1" applyFill="1" applyAlignment="1">
      <alignment/>
    </xf>
    <xf numFmtId="4" fontId="44" fillId="35" borderId="10" xfId="52" applyNumberFormat="1" applyFont="1" applyFill="1" applyBorder="1" applyProtection="1">
      <alignment/>
      <protection locked="0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/>
    </xf>
    <xf numFmtId="0" fontId="3" fillId="49" borderId="10" xfId="0" applyFont="1" applyFill="1" applyBorder="1" applyAlignment="1">
      <alignment/>
    </xf>
    <xf numFmtId="0" fontId="8" fillId="0" borderId="0" xfId="52" applyFont="1" applyAlignment="1">
      <alignment horizontal="center"/>
      <protection/>
    </xf>
    <xf numFmtId="10" fontId="8" fillId="0" borderId="10" xfId="52" applyNumberFormat="1" applyFont="1" applyBorder="1">
      <alignment/>
      <protection/>
    </xf>
    <xf numFmtId="0" fontId="8" fillId="0" borderId="13" xfId="52" applyFont="1" applyBorder="1" applyAlignment="1">
      <alignment/>
      <protection/>
    </xf>
    <xf numFmtId="0" fontId="8" fillId="0" borderId="13" xfId="52" applyFont="1" applyBorder="1">
      <alignment/>
      <protection/>
    </xf>
    <xf numFmtId="4" fontId="8" fillId="0" borderId="10" xfId="52" applyNumberFormat="1" applyFont="1" applyBorder="1" applyProtection="1">
      <alignment/>
      <protection locked="0"/>
    </xf>
    <xf numFmtId="4" fontId="8" fillId="0" borderId="25" xfId="52" applyNumberFormat="1" applyFont="1" applyBorder="1" applyProtection="1">
      <alignment/>
      <protection locked="0"/>
    </xf>
    <xf numFmtId="4" fontId="8" fillId="0" borderId="28" xfId="52" applyNumberFormat="1" applyFont="1" applyBorder="1" applyProtection="1">
      <alignment/>
      <protection locked="0"/>
    </xf>
    <xf numFmtId="4" fontId="3" fillId="41" borderId="10" xfId="0" applyNumberFormat="1" applyFont="1" applyFill="1" applyBorder="1" applyAlignment="1">
      <alignment shrinkToFit="1"/>
    </xf>
    <xf numFmtId="4" fontId="35" fillId="41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 applyProtection="1">
      <alignment shrinkToFit="1"/>
      <protection locked="0"/>
    </xf>
    <xf numFmtId="4" fontId="8" fillId="0" borderId="10" xfId="0" applyNumberFormat="1" applyFont="1" applyFill="1" applyBorder="1" applyAlignment="1" applyProtection="1">
      <alignment shrinkToFit="1"/>
      <protection locked="0"/>
    </xf>
    <xf numFmtId="4" fontId="35" fillId="44" borderId="10" xfId="0" applyNumberFormat="1" applyFont="1" applyFill="1" applyBorder="1" applyAlignment="1">
      <alignment shrinkToFit="1"/>
    </xf>
    <xf numFmtId="4" fontId="35" fillId="0" borderId="10" xfId="0" applyNumberFormat="1" applyFont="1" applyFill="1" applyBorder="1" applyAlignment="1">
      <alignment shrinkToFit="1"/>
    </xf>
    <xf numFmtId="4" fontId="3" fillId="0" borderId="0" xfId="0" applyNumberFormat="1" applyFont="1" applyFill="1" applyAlignment="1">
      <alignment shrinkToFit="1"/>
    </xf>
    <xf numFmtId="4" fontId="3" fillId="0" borderId="0" xfId="0" applyNumberFormat="1" applyFont="1" applyFill="1" applyAlignment="1" applyProtection="1">
      <alignment shrinkToFit="1"/>
      <protection locked="0"/>
    </xf>
    <xf numFmtId="0" fontId="3" fillId="0" borderId="44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41" borderId="14" xfId="0" applyFont="1" applyFill="1" applyBorder="1" applyAlignment="1" applyProtection="1">
      <alignment/>
      <protection locked="0"/>
    </xf>
    <xf numFmtId="4" fontId="3" fillId="41" borderId="14" xfId="0" applyNumberFormat="1" applyFont="1" applyFill="1" applyBorder="1" applyAlignment="1" applyProtection="1">
      <alignment/>
      <protection locked="0"/>
    </xf>
    <xf numFmtId="4" fontId="35" fillId="41" borderId="37" xfId="0" applyNumberFormat="1" applyFont="1" applyFill="1" applyBorder="1" applyAlignment="1">
      <alignment shrinkToFit="1"/>
    </xf>
    <xf numFmtId="4" fontId="3" fillId="42" borderId="21" xfId="0" applyNumberFormat="1" applyFont="1" applyFill="1" applyBorder="1" applyAlignment="1">
      <alignment shrinkToFit="1"/>
    </xf>
    <xf numFmtId="4" fontId="3" fillId="42" borderId="22" xfId="0" applyNumberFormat="1" applyFont="1" applyFill="1" applyBorder="1" applyAlignment="1">
      <alignment shrinkToFit="1"/>
    </xf>
    <xf numFmtId="4" fontId="3" fillId="41" borderId="22" xfId="0" applyNumberFormat="1" applyFont="1" applyFill="1" applyBorder="1" applyAlignment="1">
      <alignment shrinkToFit="1"/>
    </xf>
    <xf numFmtId="4" fontId="35" fillId="41" borderId="27" xfId="0" applyNumberFormat="1" applyFont="1" applyFill="1" applyBorder="1" applyAlignment="1">
      <alignment shrinkToFit="1"/>
    </xf>
    <xf numFmtId="4" fontId="35" fillId="41" borderId="28" xfId="0" applyNumberFormat="1" applyFont="1" applyFill="1" applyBorder="1" applyAlignment="1">
      <alignment shrinkToFit="1"/>
    </xf>
    <xf numFmtId="4" fontId="3" fillId="41" borderId="25" xfId="0" applyNumberFormat="1" applyFont="1" applyFill="1" applyBorder="1" applyAlignment="1">
      <alignment shrinkToFit="1"/>
    </xf>
    <xf numFmtId="4" fontId="35" fillId="41" borderId="26" xfId="0" applyNumberFormat="1" applyFont="1" applyFill="1" applyBorder="1" applyAlignment="1">
      <alignment shrinkToFit="1"/>
    </xf>
    <xf numFmtId="0" fontId="8" fillId="0" borderId="44" xfId="0" applyFont="1" applyFill="1" applyBorder="1" applyAlignment="1">
      <alignment/>
    </xf>
    <xf numFmtId="4" fontId="3" fillId="0" borderId="23" xfId="0" applyNumberFormat="1" applyFont="1" applyFill="1" applyBorder="1" applyAlignment="1" applyProtection="1">
      <alignment shrinkToFit="1"/>
      <protection locked="0"/>
    </xf>
    <xf numFmtId="4" fontId="35" fillId="41" borderId="39" xfId="0" applyNumberFormat="1" applyFont="1" applyFill="1" applyBorder="1" applyAlignment="1">
      <alignment shrinkToFit="1"/>
    </xf>
    <xf numFmtId="4" fontId="35" fillId="41" borderId="35" xfId="0" applyNumberFormat="1" applyFont="1" applyFill="1" applyBorder="1" applyAlignment="1">
      <alignment shrinkToFit="1"/>
    </xf>
    <xf numFmtId="4" fontId="35" fillId="41" borderId="14" xfId="0" applyNumberFormat="1" applyFont="1" applyFill="1" applyBorder="1" applyAlignment="1">
      <alignment shrinkToFit="1"/>
    </xf>
    <xf numFmtId="4" fontId="35" fillId="44" borderId="37" xfId="0" applyNumberFormat="1" applyFont="1" applyFill="1" applyBorder="1" applyAlignment="1">
      <alignment shrinkToFit="1"/>
    </xf>
    <xf numFmtId="4" fontId="5" fillId="0" borderId="10" xfId="0" applyNumberFormat="1" applyFont="1" applyBorder="1" applyAlignment="1">
      <alignment vertical="center" textRotation="90" shrinkToFit="1"/>
    </xf>
    <xf numFmtId="4" fontId="5" fillId="35" borderId="10" xfId="0" applyNumberFormat="1" applyFont="1" applyFill="1" applyBorder="1" applyAlignment="1">
      <alignment vertical="center" textRotation="90" shrinkToFit="1"/>
    </xf>
    <xf numFmtId="4" fontId="5" fillId="0" borderId="10" xfId="0" applyNumberFormat="1" applyFont="1" applyBorder="1" applyAlignment="1">
      <alignment horizontal="center" vertical="center" textRotation="90" shrinkToFit="1"/>
    </xf>
    <xf numFmtId="4" fontId="5" fillId="35" borderId="10" xfId="0" applyNumberFormat="1" applyFont="1" applyFill="1" applyBorder="1" applyAlignment="1">
      <alignment horizontal="center" vertical="center" textRotation="90" shrinkToFit="1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9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4" fontId="42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 textRotation="90" shrinkToFit="1"/>
    </xf>
    <xf numFmtId="4" fontId="5" fillId="35" borderId="44" xfId="0" applyNumberFormat="1" applyFont="1" applyFill="1" applyBorder="1" applyAlignment="1">
      <alignment horizontal="center" vertical="center" textRotation="90" shrinkToFit="1"/>
    </xf>
    <xf numFmtId="4" fontId="34" fillId="0" borderId="33" xfId="0" applyNumberFormat="1" applyFont="1" applyBorder="1" applyAlignment="1">
      <alignment horizontal="center" vertical="center" textRotation="90" shrinkToFit="1"/>
    </xf>
    <xf numFmtId="4" fontId="34" fillId="0" borderId="34" xfId="0" applyNumberFormat="1" applyFont="1" applyBorder="1" applyAlignment="1">
      <alignment horizontal="center" vertical="center" textRotation="90" shrinkToFit="1"/>
    </xf>
    <xf numFmtId="4" fontId="34" fillId="0" borderId="35" xfId="0" applyNumberFormat="1" applyFont="1" applyBorder="1" applyAlignment="1">
      <alignment horizontal="center" vertical="center" textRotation="90" shrinkToFit="1"/>
    </xf>
    <xf numFmtId="4" fontId="3" fillId="0" borderId="29" xfId="0" applyNumberFormat="1" applyFont="1" applyBorder="1" applyAlignment="1">
      <alignment horizontal="center" vertical="center" textRotation="90" shrinkToFit="1"/>
    </xf>
    <xf numFmtId="4" fontId="3" fillId="0" borderId="37" xfId="0" applyNumberFormat="1" applyFont="1" applyBorder="1" applyAlignment="1">
      <alignment horizontal="center" vertical="center" textRotation="90" shrinkToFit="1"/>
    </xf>
    <xf numFmtId="4" fontId="3" fillId="0" borderId="38" xfId="0" applyNumberFormat="1" applyFont="1" applyBorder="1" applyAlignment="1">
      <alignment horizontal="center" vertical="center" textRotation="90" shrinkToFit="1"/>
    </xf>
    <xf numFmtId="4" fontId="3" fillId="0" borderId="23" xfId="0" applyNumberFormat="1" applyFont="1" applyBorder="1" applyAlignment="1">
      <alignment horizontal="center" vertical="center" textRotation="90" shrinkToFit="1"/>
    </xf>
    <xf numFmtId="4" fontId="3" fillId="0" borderId="10" xfId="0" applyNumberFormat="1" applyFont="1" applyBorder="1" applyAlignment="1">
      <alignment horizontal="center" vertical="center" textRotation="90" shrinkToFit="1"/>
    </xf>
    <xf numFmtId="4" fontId="3" fillId="0" borderId="28" xfId="0" applyNumberFormat="1" applyFont="1" applyBorder="1" applyAlignment="1">
      <alignment horizontal="center" vertical="center" textRotation="90" shrinkToFit="1"/>
    </xf>
    <xf numFmtId="4" fontId="3" fillId="0" borderId="24" xfId="0" applyNumberFormat="1" applyFont="1" applyBorder="1" applyAlignment="1">
      <alignment horizontal="center" vertical="center" textRotation="90" shrinkToFit="1"/>
    </xf>
    <xf numFmtId="4" fontId="3" fillId="0" borderId="25" xfId="0" applyNumberFormat="1" applyFont="1" applyBorder="1" applyAlignment="1">
      <alignment horizontal="center" vertical="center" textRotation="90" shrinkToFit="1"/>
    </xf>
    <xf numFmtId="4" fontId="3" fillId="0" borderId="26" xfId="0" applyNumberFormat="1" applyFont="1" applyBorder="1" applyAlignment="1">
      <alignment horizontal="center" vertical="center" textRotation="90" shrinkToFit="1"/>
    </xf>
    <xf numFmtId="4" fontId="5" fillId="0" borderId="44" xfId="0" applyNumberFormat="1" applyFont="1" applyBorder="1" applyAlignment="1">
      <alignment vertical="center" textRotation="90" shrinkToFit="1"/>
    </xf>
    <xf numFmtId="4" fontId="5" fillId="35" borderId="44" xfId="0" applyNumberFormat="1" applyFont="1" applyFill="1" applyBorder="1" applyAlignment="1">
      <alignment vertical="center" textRotation="90" shrinkToFit="1"/>
    </xf>
    <xf numFmtId="4" fontId="34" fillId="0" borderId="33" xfId="0" applyNumberFormat="1" applyFont="1" applyBorder="1" applyAlignment="1">
      <alignment horizontal="center" vertical="center" textRotation="90"/>
    </xf>
    <xf numFmtId="4" fontId="34" fillId="0" borderId="34" xfId="0" applyNumberFormat="1" applyFont="1" applyBorder="1" applyAlignment="1">
      <alignment horizontal="center" vertical="center" textRotation="90"/>
    </xf>
    <xf numFmtId="0" fontId="15" fillId="0" borderId="0" xfId="52" applyFont="1" applyAlignment="1">
      <alignment horizontal="center"/>
      <protection/>
    </xf>
    <xf numFmtId="4" fontId="3" fillId="0" borderId="23" xfId="0" applyNumberFormat="1" applyFont="1" applyFill="1" applyBorder="1" applyAlignment="1">
      <alignment horizontal="center" vertical="center" textRotation="90" shrinkToFit="1"/>
    </xf>
    <xf numFmtId="4" fontId="3" fillId="0" borderId="10" xfId="0" applyNumberFormat="1" applyFont="1" applyFill="1" applyBorder="1" applyAlignment="1">
      <alignment horizontal="center" vertical="center" textRotation="90" shrinkToFit="1"/>
    </xf>
    <xf numFmtId="4" fontId="3" fillId="0" borderId="28" xfId="0" applyNumberFormat="1" applyFont="1" applyFill="1" applyBorder="1" applyAlignment="1">
      <alignment horizontal="center" vertical="center" textRotation="90" shrinkToFit="1"/>
    </xf>
    <xf numFmtId="4" fontId="3" fillId="0" borderId="12" xfId="0" applyNumberFormat="1" applyFont="1" applyFill="1" applyBorder="1" applyAlignment="1">
      <alignment horizontal="center" vertical="center" textRotation="90" shrinkToFit="1"/>
    </xf>
    <xf numFmtId="4" fontId="3" fillId="0" borderId="15" xfId="0" applyNumberFormat="1" applyFont="1" applyBorder="1" applyAlignment="1">
      <alignment horizontal="center" vertical="center" textRotation="90" shrinkToFit="1"/>
    </xf>
    <xf numFmtId="4" fontId="3" fillId="0" borderId="44" xfId="0" applyNumberFormat="1" applyFont="1" applyBorder="1" applyAlignment="1">
      <alignment horizontal="center" vertical="center" textRotation="90" shrinkToFit="1"/>
    </xf>
    <xf numFmtId="4" fontId="3" fillId="0" borderId="44" xfId="0" applyNumberFormat="1" applyFont="1" applyFill="1" applyBorder="1" applyAlignment="1">
      <alignment horizontal="center" vertical="center" textRotation="90" shrinkToFit="1"/>
    </xf>
    <xf numFmtId="4" fontId="3" fillId="0" borderId="47" xfId="0" applyNumberFormat="1" applyFont="1" applyBorder="1" applyAlignment="1">
      <alignment horizontal="center" vertical="center" textRotation="90" shrinkToFit="1"/>
    </xf>
    <xf numFmtId="4" fontId="3" fillId="0" borderId="21" xfId="0" applyNumberFormat="1" applyFont="1" applyBorder="1" applyAlignment="1">
      <alignment horizontal="center" vertical="center" textRotation="90" shrinkToFit="1"/>
    </xf>
    <xf numFmtId="4" fontId="3" fillId="0" borderId="22" xfId="0" applyNumberFormat="1" applyFont="1" applyBorder="1" applyAlignment="1">
      <alignment horizontal="center" vertical="center" textRotation="90" shrinkToFit="1"/>
    </xf>
    <xf numFmtId="4" fontId="3" fillId="0" borderId="27" xfId="0" applyNumberFormat="1" applyFont="1" applyBorder="1" applyAlignment="1">
      <alignment horizontal="center" vertical="center" textRotation="90" shrinkToFit="1"/>
    </xf>
    <xf numFmtId="4" fontId="8" fillId="0" borderId="23" xfId="0" applyNumberFormat="1" applyFont="1" applyFill="1" applyBorder="1" applyAlignment="1" applyProtection="1">
      <alignment shrinkToFit="1"/>
      <protection locked="0"/>
    </xf>
    <xf numFmtId="4" fontId="8" fillId="41" borderId="10" xfId="0" applyNumberFormat="1" applyFont="1" applyFill="1" applyBorder="1" applyAlignment="1">
      <alignment shrinkToFit="1"/>
    </xf>
    <xf numFmtId="4" fontId="8" fillId="0" borderId="24" xfId="0" applyNumberFormat="1" applyFont="1" applyFill="1" applyBorder="1" applyAlignment="1" applyProtection="1">
      <alignment shrinkToFit="1"/>
      <protection locked="0"/>
    </xf>
    <xf numFmtId="4" fontId="8" fillId="0" borderId="25" xfId="0" applyNumberFormat="1" applyFont="1" applyFill="1" applyBorder="1" applyAlignment="1" applyProtection="1">
      <alignment shrinkToFit="1"/>
      <protection locked="0"/>
    </xf>
    <xf numFmtId="4" fontId="8" fillId="41" borderId="25" xfId="0" applyNumberFormat="1" applyFont="1" applyFill="1" applyBorder="1" applyAlignment="1">
      <alignment shrinkToFit="1"/>
    </xf>
    <xf numFmtId="4" fontId="8" fillId="0" borderId="14" xfId="0" applyNumberFormat="1" applyFont="1" applyFill="1" applyBorder="1" applyAlignment="1" applyProtection="1">
      <alignment shrinkToFit="1"/>
      <protection locked="0"/>
    </xf>
    <xf numFmtId="4" fontId="8" fillId="41" borderId="14" xfId="0" applyNumberFormat="1" applyFont="1" applyFill="1" applyBorder="1" applyAlignment="1">
      <alignment shrinkToFit="1"/>
    </xf>
    <xf numFmtId="4" fontId="8" fillId="41" borderId="47" xfId="0" applyNumberFormat="1" applyFont="1" applyFill="1" applyBorder="1" applyAlignment="1">
      <alignment shrinkToFit="1"/>
    </xf>
    <xf numFmtId="4" fontId="13" fillId="0" borderId="33" xfId="0" applyNumberFormat="1" applyFont="1" applyFill="1" applyBorder="1" applyAlignment="1" applyProtection="1">
      <alignment shrinkToFit="1"/>
      <protection locked="0"/>
    </xf>
    <xf numFmtId="4" fontId="13" fillId="0" borderId="34" xfId="0" applyNumberFormat="1" applyFont="1" applyFill="1" applyBorder="1" applyAlignment="1" applyProtection="1">
      <alignment shrinkToFit="1"/>
      <protection locked="0"/>
    </xf>
    <xf numFmtId="4" fontId="13" fillId="41" borderId="34" xfId="0" applyNumberFormat="1" applyFont="1" applyFill="1" applyBorder="1" applyAlignment="1">
      <alignment shrinkToFit="1"/>
    </xf>
    <xf numFmtId="4" fontId="8" fillId="42" borderId="37" xfId="0" applyNumberFormat="1" applyFont="1" applyFill="1" applyBorder="1" applyAlignment="1">
      <alignment shrinkToFit="1"/>
    </xf>
    <xf numFmtId="4" fontId="8" fillId="41" borderId="37" xfId="0" applyNumberFormat="1" applyFont="1" applyFill="1" applyBorder="1" applyAlignment="1">
      <alignment shrinkToFit="1"/>
    </xf>
    <xf numFmtId="4" fontId="8" fillId="42" borderId="10" xfId="0" applyNumberFormat="1" applyFont="1" applyFill="1" applyBorder="1" applyAlignment="1">
      <alignment shrinkToFit="1"/>
    </xf>
    <xf numFmtId="4" fontId="8" fillId="0" borderId="10" xfId="0" applyNumberFormat="1" applyFont="1" applyFill="1" applyBorder="1" applyAlignment="1">
      <alignment shrinkToFit="1"/>
    </xf>
    <xf numFmtId="4" fontId="8" fillId="0" borderId="14" xfId="0" applyNumberFormat="1" applyFont="1" applyFill="1" applyBorder="1" applyAlignment="1">
      <alignment shrinkToFit="1"/>
    </xf>
    <xf numFmtId="4" fontId="13" fillId="0" borderId="33" xfId="0" applyNumberFormat="1" applyFont="1" applyFill="1" applyBorder="1" applyAlignment="1">
      <alignment shrinkToFit="1"/>
    </xf>
    <xf numFmtId="4" fontId="13" fillId="0" borderId="34" xfId="0" applyNumberFormat="1" applyFont="1" applyFill="1" applyBorder="1" applyAlignment="1">
      <alignment shrinkToFit="1"/>
    </xf>
    <xf numFmtId="4" fontId="8" fillId="43" borderId="0" xfId="0" applyNumberFormat="1" applyFont="1" applyFill="1" applyBorder="1" applyAlignment="1">
      <alignment shrinkToFit="1"/>
    </xf>
    <xf numFmtId="4" fontId="8" fillId="44" borderId="37" xfId="0" applyNumberFormat="1" applyFont="1" applyFill="1" applyBorder="1" applyAlignment="1">
      <alignment shrinkToFit="1"/>
    </xf>
    <xf numFmtId="4" fontId="8" fillId="0" borderId="0" xfId="0" applyNumberFormat="1" applyFont="1" applyFill="1" applyBorder="1" applyAlignment="1">
      <alignment shrinkToFit="1"/>
    </xf>
    <xf numFmtId="4" fontId="13" fillId="0" borderId="0" xfId="0" applyNumberFormat="1" applyFont="1" applyFill="1" applyBorder="1" applyAlignment="1">
      <alignment shrinkToFit="1"/>
    </xf>
    <xf numFmtId="4" fontId="8" fillId="43" borderId="0" xfId="0" applyNumberFormat="1" applyFont="1" applyFill="1" applyAlignment="1">
      <alignment shrinkToFit="1"/>
    </xf>
    <xf numFmtId="4" fontId="8" fillId="44" borderId="10" xfId="0" applyNumberFormat="1" applyFont="1" applyFill="1" applyBorder="1" applyAlignment="1">
      <alignment shrinkToFit="1"/>
    </xf>
    <xf numFmtId="4" fontId="8" fillId="0" borderId="0" xfId="0" applyNumberFormat="1" applyFont="1" applyFill="1" applyAlignment="1">
      <alignment shrinkToFit="1"/>
    </xf>
    <xf numFmtId="4" fontId="8" fillId="0" borderId="0" xfId="0" applyNumberFormat="1" applyFont="1" applyFill="1" applyAlignment="1" applyProtection="1">
      <alignment shrinkToFit="1"/>
      <protection locked="0"/>
    </xf>
    <xf numFmtId="4" fontId="13" fillId="44" borderId="0" xfId="0" applyNumberFormat="1" applyFont="1" applyFill="1" applyBorder="1" applyAlignment="1" applyProtection="1">
      <alignment shrinkToFit="1"/>
      <protection locked="0"/>
    </xf>
    <xf numFmtId="0" fontId="8" fillId="50" borderId="25" xfId="52" applyFont="1" applyFill="1" applyBorder="1" applyAlignment="1">
      <alignment wrapText="1"/>
      <protection/>
    </xf>
    <xf numFmtId="2" fontId="8" fillId="0" borderId="28" xfId="52" applyNumberFormat="1" applyFont="1" applyBorder="1">
      <alignment/>
      <protection/>
    </xf>
    <xf numFmtId="0" fontId="8" fillId="0" borderId="14" xfId="52" applyFont="1" applyBorder="1">
      <alignment/>
      <protection/>
    </xf>
    <xf numFmtId="4" fontId="15" fillId="0" borderId="28" xfId="52" applyNumberFormat="1" applyFont="1" applyBorder="1" applyAlignment="1">
      <alignment horizontal="center"/>
      <protection/>
    </xf>
    <xf numFmtId="4" fontId="8" fillId="0" borderId="28" xfId="52" applyNumberFormat="1" applyFont="1" applyBorder="1">
      <alignment/>
      <protection/>
    </xf>
    <xf numFmtId="4" fontId="8" fillId="0" borderId="26" xfId="52" applyNumberFormat="1" applyFont="1" applyBorder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4" fontId="2" fillId="0" borderId="44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wrapText="1"/>
    </xf>
    <xf numFmtId="0" fontId="2" fillId="0" borderId="44" xfId="0" applyNumberFormat="1" applyFont="1" applyBorder="1" applyAlignment="1">
      <alignment horizontal="center" vertical="center" shrinkToFit="1"/>
    </xf>
    <xf numFmtId="0" fontId="2" fillId="0" borderId="4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4" fontId="2" fillId="0" borderId="44" xfId="0" applyNumberFormat="1" applyFont="1" applyBorder="1" applyAlignment="1">
      <alignment horizontal="center" vertical="center" shrinkToFit="1"/>
    </xf>
    <xf numFmtId="4" fontId="2" fillId="0" borderId="41" xfId="0" applyNumberFormat="1" applyFont="1" applyBorder="1" applyAlignment="1">
      <alignment horizontal="center" vertical="center" shrinkToFit="1"/>
    </xf>
    <xf numFmtId="4" fontId="2" fillId="0" borderId="12" xfId="0" applyNumberFormat="1" applyFont="1" applyBorder="1" applyAlignment="1">
      <alignment horizontal="center" vertical="center" shrinkToFit="1"/>
    </xf>
    <xf numFmtId="3" fontId="2" fillId="0" borderId="44" xfId="0" applyNumberFormat="1" applyFont="1" applyBorder="1" applyAlignment="1">
      <alignment horizontal="center" vertical="center" shrinkToFit="1"/>
    </xf>
    <xf numFmtId="3" fontId="2" fillId="0" borderId="4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1" fillId="0" borderId="4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4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4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4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5" fillId="0" borderId="4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" fontId="34" fillId="0" borderId="50" xfId="0" applyNumberFormat="1" applyFont="1" applyBorder="1" applyAlignment="1">
      <alignment horizontal="center"/>
    </xf>
    <xf numFmtId="4" fontId="34" fillId="0" borderId="51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41" xfId="0" applyFont="1" applyBorder="1" applyAlignment="1">
      <alignment wrapText="1"/>
    </xf>
    <xf numFmtId="4" fontId="34" fillId="0" borderId="50" xfId="0" applyNumberFormat="1" applyFont="1" applyBorder="1" applyAlignment="1">
      <alignment horizontal="center" vertical="center" shrinkToFit="1"/>
    </xf>
    <xf numFmtId="4" fontId="34" fillId="0" borderId="51" xfId="0" applyNumberFormat="1" applyFont="1" applyBorder="1" applyAlignment="1">
      <alignment horizontal="center" vertical="center" shrinkToFit="1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4" fontId="34" fillId="0" borderId="52" xfId="0" applyNumberFormat="1" applyFont="1" applyBorder="1" applyAlignment="1">
      <alignment horizontal="center"/>
    </xf>
    <xf numFmtId="4" fontId="34" fillId="0" borderId="53" xfId="0" applyNumberFormat="1" applyFont="1" applyBorder="1" applyAlignment="1">
      <alignment horizontal="center"/>
    </xf>
    <xf numFmtId="4" fontId="34" fillId="0" borderId="54" xfId="0" applyNumberFormat="1" applyFont="1" applyBorder="1" applyAlignment="1">
      <alignment horizontal="center"/>
    </xf>
    <xf numFmtId="4" fontId="34" fillId="0" borderId="55" xfId="0" applyNumberFormat="1" applyFont="1" applyBorder="1" applyAlignment="1">
      <alignment horizontal="center"/>
    </xf>
    <xf numFmtId="4" fontId="34" fillId="0" borderId="56" xfId="0" applyNumberFormat="1" applyFont="1" applyBorder="1" applyAlignment="1">
      <alignment horizontal="center" vertical="center" shrinkToFit="1"/>
    </xf>
    <xf numFmtId="4" fontId="34" fillId="0" borderId="57" xfId="0" applyNumberFormat="1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5" fillId="0" borderId="4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4" fontId="34" fillId="0" borderId="52" xfId="0" applyNumberFormat="1" applyFont="1" applyBorder="1" applyAlignment="1">
      <alignment horizontal="center" vertical="center" shrinkToFit="1"/>
    </xf>
    <xf numFmtId="4" fontId="34" fillId="0" borderId="53" xfId="0" applyNumberFormat="1" applyFont="1" applyBorder="1" applyAlignment="1">
      <alignment horizontal="center" vertical="center" shrinkToFit="1"/>
    </xf>
    <xf numFmtId="4" fontId="34" fillId="0" borderId="58" xfId="0" applyNumberFormat="1" applyFont="1" applyBorder="1" applyAlignment="1">
      <alignment horizontal="center" vertical="center" shrinkToFit="1"/>
    </xf>
    <xf numFmtId="4" fontId="34" fillId="0" borderId="59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4" fontId="34" fillId="0" borderId="54" xfId="0" applyNumberFormat="1" applyFont="1" applyBorder="1" applyAlignment="1">
      <alignment horizontal="center" vertical="center" shrinkToFit="1"/>
    </xf>
    <xf numFmtId="4" fontId="34" fillId="0" borderId="55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4" fillId="0" borderId="23" xfId="0" applyNumberFormat="1" applyFont="1" applyBorder="1" applyAlignment="1">
      <alignment horizontal="center" vertical="center" shrinkToFit="1"/>
    </xf>
    <xf numFmtId="4" fontId="34" fillId="0" borderId="2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4" fontId="34" fillId="0" borderId="24" xfId="0" applyNumberFormat="1" applyFont="1" applyBorder="1" applyAlignment="1">
      <alignment horizontal="center" vertical="center" shrinkToFit="1"/>
    </xf>
    <xf numFmtId="4" fontId="34" fillId="0" borderId="26" xfId="0" applyNumberFormat="1" applyFont="1" applyBorder="1" applyAlignment="1">
      <alignment horizontal="center" vertical="center" shrinkToFit="1"/>
    </xf>
    <xf numFmtId="4" fontId="34" fillId="0" borderId="21" xfId="0" applyNumberFormat="1" applyFont="1" applyBorder="1" applyAlignment="1">
      <alignment horizontal="center" vertical="center" shrinkToFit="1"/>
    </xf>
    <xf numFmtId="4" fontId="34" fillId="0" borderId="27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" fontId="34" fillId="0" borderId="64" xfId="0" applyNumberFormat="1" applyFont="1" applyBorder="1" applyAlignment="1">
      <alignment horizontal="center" vertical="center" textRotation="90"/>
    </xf>
    <xf numFmtId="4" fontId="34" fillId="0" borderId="53" xfId="0" applyNumberFormat="1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8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Alignment="1" applyProtection="1">
      <alignment horizontal="left" shrinkToFit="1"/>
      <protection locked="0"/>
    </xf>
    <xf numFmtId="0" fontId="19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horizontal="right" wrapText="1"/>
      <protection/>
    </xf>
    <xf numFmtId="0" fontId="16" fillId="0" borderId="0" xfId="52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 wrapText="1"/>
      <protection/>
    </xf>
    <xf numFmtId="4" fontId="8" fillId="39" borderId="44" xfId="52" applyNumberFormat="1" applyFont="1" applyFill="1" applyBorder="1" applyAlignment="1">
      <alignment horizontal="center" wrapText="1"/>
      <protection/>
    </xf>
    <xf numFmtId="4" fontId="8" fillId="39" borderId="51" xfId="52" applyNumberFormat="1" applyFont="1" applyFill="1" applyBorder="1" applyAlignment="1">
      <alignment horizontal="center" wrapText="1"/>
      <protection/>
    </xf>
    <xf numFmtId="4" fontId="8" fillId="39" borderId="47" xfId="52" applyNumberFormat="1" applyFont="1" applyFill="1" applyBorder="1" applyAlignment="1">
      <alignment horizontal="center" wrapText="1"/>
      <protection/>
    </xf>
    <xf numFmtId="4" fontId="8" fillId="39" borderId="57" xfId="52" applyNumberFormat="1" applyFont="1" applyFill="1" applyBorder="1" applyAlignment="1">
      <alignment horizontal="center" wrapText="1"/>
      <protection/>
    </xf>
    <xf numFmtId="0" fontId="19" fillId="0" borderId="0" xfId="52" applyFont="1" applyAlignment="1">
      <alignment horizontal="center" wrapText="1"/>
      <protection/>
    </xf>
    <xf numFmtId="0" fontId="20" fillId="0" borderId="22" xfId="52" applyFont="1" applyBorder="1" applyAlignment="1">
      <alignment horizontal="center" wrapText="1"/>
      <protection/>
    </xf>
    <xf numFmtId="0" fontId="20" fillId="0" borderId="27" xfId="52" applyFont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0" fontId="8" fillId="0" borderId="28" xfId="52" applyFont="1" applyBorder="1" applyAlignment="1">
      <alignment wrapText="1"/>
      <protection/>
    </xf>
    <xf numFmtId="0" fontId="8" fillId="0" borderId="25" xfId="52" applyFont="1" applyBorder="1" applyAlignment="1">
      <alignment wrapText="1"/>
      <protection/>
    </xf>
    <xf numFmtId="0" fontId="8" fillId="0" borderId="26" xfId="52" applyFont="1" applyBorder="1" applyAlignment="1">
      <alignment wrapText="1"/>
      <protection/>
    </xf>
    <xf numFmtId="0" fontId="20" fillId="0" borderId="65" xfId="52" applyFont="1" applyBorder="1" applyAlignment="1">
      <alignment horizontal="center" wrapText="1"/>
      <protection/>
    </xf>
    <xf numFmtId="0" fontId="20" fillId="0" borderId="55" xfId="52" applyFont="1" applyBorder="1" applyAlignment="1">
      <alignment horizont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8" fillId="0" borderId="50" xfId="52" applyFont="1" applyBorder="1" applyAlignment="1">
      <alignment horizontal="center"/>
      <protection/>
    </xf>
    <xf numFmtId="0" fontId="8" fillId="0" borderId="41" xfId="52" applyFont="1" applyBorder="1" applyAlignment="1">
      <alignment horizontal="center"/>
      <protection/>
    </xf>
    <xf numFmtId="0" fontId="8" fillId="0" borderId="51" xfId="52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31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15" fillId="0" borderId="0" xfId="52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 wrapText="1"/>
      <protection/>
    </xf>
    <xf numFmtId="0" fontId="19" fillId="0" borderId="41" xfId="52" applyFont="1" applyBorder="1" applyAlignment="1">
      <alignment horizontal="center" wrapText="1"/>
      <protection/>
    </xf>
    <xf numFmtId="0" fontId="19" fillId="0" borderId="12" xfId="52" applyFont="1" applyBorder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Alignment="1">
      <alignment horizontal="center" vertical="center"/>
      <protection/>
    </xf>
    <xf numFmtId="0" fontId="24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 wrapText="1"/>
      <protection/>
    </xf>
    <xf numFmtId="0" fontId="17" fillId="0" borderId="0" xfId="52" applyFont="1" applyAlignment="1">
      <alignment horizontal="center" wrapText="1"/>
      <protection/>
    </xf>
    <xf numFmtId="0" fontId="16" fillId="0" borderId="17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8" xfId="52" applyFont="1" applyBorder="1" applyAlignment="1">
      <alignment horizontal="center" vertical="top" wrapText="1"/>
      <protection/>
    </xf>
    <xf numFmtId="0" fontId="27" fillId="0" borderId="17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19" fillId="0" borderId="18" xfId="52" applyFont="1" applyBorder="1" applyAlignment="1">
      <alignment horizontal="center" vertical="top" wrapText="1"/>
      <protection/>
    </xf>
    <xf numFmtId="0" fontId="27" fillId="0" borderId="66" xfId="52" applyFont="1" applyBorder="1" applyAlignment="1">
      <alignment horizontal="center" vertical="top" wrapText="1"/>
      <protection/>
    </xf>
    <xf numFmtId="0" fontId="27" fillId="0" borderId="67" xfId="52" applyFont="1" applyBorder="1" applyAlignment="1">
      <alignment horizontal="center" vertical="top" wrapText="1"/>
      <protection/>
    </xf>
    <xf numFmtId="0" fontId="27" fillId="0" borderId="68" xfId="52" applyFont="1" applyBorder="1" applyAlignment="1">
      <alignment horizontal="center" vertical="top" wrapText="1"/>
      <protection/>
    </xf>
    <xf numFmtId="0" fontId="16" fillId="0" borderId="0" xfId="52" applyFont="1" applyBorder="1" applyAlignment="1">
      <alignment horizontal="center" vertical="top" wrapText="1"/>
      <protection/>
    </xf>
    <xf numFmtId="0" fontId="16" fillId="0" borderId="20" xfId="52" applyFont="1" applyBorder="1" applyAlignment="1">
      <alignment horizontal="center" vertical="top" wrapText="1"/>
      <protection/>
    </xf>
    <xf numFmtId="0" fontId="19" fillId="0" borderId="20" xfId="52" applyFont="1" applyBorder="1" applyAlignment="1">
      <alignment horizontal="center" vertical="top" wrapText="1"/>
      <protection/>
    </xf>
    <xf numFmtId="0" fontId="8" fillId="0" borderId="23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28" xfId="52" applyFont="1" applyBorder="1" applyAlignment="1">
      <alignment horizontal="center" vertical="top" wrapText="1"/>
      <protection/>
    </xf>
    <xf numFmtId="0" fontId="16" fillId="0" borderId="37" xfId="52" applyFont="1" applyBorder="1" applyAlignment="1">
      <alignment horizontal="center" vertical="top" wrapText="1"/>
      <protection/>
    </xf>
    <xf numFmtId="0" fontId="17" fillId="0" borderId="37" xfId="52" applyFont="1" applyBorder="1" applyAlignment="1">
      <alignment horizontal="center" vertical="top" wrapText="1"/>
      <protection/>
    </xf>
    <xf numFmtId="0" fontId="19" fillId="0" borderId="19" xfId="52" applyFont="1" applyBorder="1" applyAlignment="1">
      <alignment horizontal="center" wrapText="1"/>
      <protection/>
    </xf>
    <xf numFmtId="0" fontId="19" fillId="0" borderId="49" xfId="52" applyFont="1" applyBorder="1" applyAlignment="1">
      <alignment horizontal="center" wrapText="1"/>
      <protection/>
    </xf>
    <xf numFmtId="0" fontId="19" fillId="0" borderId="18" xfId="52" applyFont="1" applyBorder="1" applyAlignment="1">
      <alignment horizontal="center"/>
      <protection/>
    </xf>
    <xf numFmtId="0" fontId="19" fillId="0" borderId="18" xfId="52" applyFont="1" applyBorder="1" applyAlignment="1">
      <alignment horizontal="center" wrapText="1"/>
      <protection/>
    </xf>
    <xf numFmtId="0" fontId="19" fillId="0" borderId="14" xfId="52" applyFont="1" applyBorder="1" applyAlignment="1">
      <alignment horizontal="center" vertical="top" wrapText="1"/>
      <protection/>
    </xf>
    <xf numFmtId="16" fontId="19" fillId="0" borderId="0" xfId="52" applyNumberFormat="1" applyFont="1" applyBorder="1" applyAlignment="1">
      <alignment horizontal="center" vertical="top" wrapText="1"/>
      <protection/>
    </xf>
    <xf numFmtId="0" fontId="19" fillId="0" borderId="64" xfId="52" applyFont="1" applyBorder="1" applyAlignment="1">
      <alignment horizontal="center" vertical="top" wrapText="1"/>
      <protection/>
    </xf>
    <xf numFmtId="0" fontId="19" fillId="0" borderId="69" xfId="52" applyFont="1" applyBorder="1" applyAlignment="1">
      <alignment horizontal="center" vertical="top" wrapText="1"/>
      <protection/>
    </xf>
    <xf numFmtId="0" fontId="19" fillId="0" borderId="70" xfId="52" applyFont="1" applyBorder="1" applyAlignment="1">
      <alignment horizontal="center" vertical="top" wrapText="1"/>
      <protection/>
    </xf>
    <xf numFmtId="0" fontId="29" fillId="0" borderId="0" xfId="52" applyFont="1" applyAlignment="1">
      <alignment horizontal="center"/>
      <protection/>
    </xf>
    <xf numFmtId="0" fontId="19" fillId="0" borderId="0" xfId="0" applyFont="1" applyFill="1" applyAlignment="1">
      <alignment horizont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47" borderId="44" xfId="0" applyFont="1" applyFill="1" applyBorder="1" applyAlignment="1">
      <alignment horizontal="left" vertical="top" wrapText="1"/>
    </xf>
    <xf numFmtId="0" fontId="8" fillId="47" borderId="12" xfId="0" applyFont="1" applyFill="1" applyBorder="1" applyAlignment="1">
      <alignment horizontal="left" vertical="top" wrapText="1"/>
    </xf>
    <xf numFmtId="169" fontId="8" fillId="47" borderId="44" xfId="0" applyNumberFormat="1" applyFont="1" applyFill="1" applyBorder="1" applyAlignment="1">
      <alignment/>
    </xf>
    <xf numFmtId="169" fontId="8" fillId="47" borderId="12" xfId="0" applyNumberFormat="1" applyFont="1" applyFill="1" applyBorder="1" applyAlignment="1">
      <alignment/>
    </xf>
    <xf numFmtId="169" fontId="8" fillId="34" borderId="44" xfId="0" applyNumberFormat="1" applyFont="1" applyFill="1" applyBorder="1" applyAlignment="1">
      <alignment/>
    </xf>
    <xf numFmtId="169" fontId="8" fillId="34" borderId="12" xfId="0" applyNumberFormat="1" applyFont="1" applyFill="1" applyBorder="1" applyAlignment="1">
      <alignment/>
    </xf>
    <xf numFmtId="0" fontId="8" fillId="46" borderId="44" xfId="0" applyFont="1" applyFill="1" applyBorder="1" applyAlignment="1">
      <alignment horizontal="left" vertical="top" wrapText="1"/>
    </xf>
    <xf numFmtId="0" fontId="8" fillId="46" borderId="12" xfId="0" applyFont="1" applyFill="1" applyBorder="1" applyAlignment="1">
      <alignment horizontal="left" vertical="top" wrapText="1"/>
    </xf>
    <xf numFmtId="169" fontId="13" fillId="46" borderId="44" xfId="0" applyNumberFormat="1" applyFont="1" applyFill="1" applyBorder="1" applyAlignment="1">
      <alignment horizontal="right"/>
    </xf>
    <xf numFmtId="0" fontId="13" fillId="46" borderId="12" xfId="0" applyFont="1" applyFill="1" applyBorder="1" applyAlignment="1">
      <alignment horizontal="right"/>
    </xf>
    <xf numFmtId="169" fontId="8" fillId="47" borderId="44" xfId="0" applyNumberFormat="1" applyFont="1" applyFill="1" applyBorder="1" applyAlignment="1">
      <alignment horizontal="right"/>
    </xf>
    <xf numFmtId="169" fontId="8" fillId="47" borderId="12" xfId="0" applyNumberFormat="1" applyFont="1" applyFill="1" applyBorder="1" applyAlignment="1">
      <alignment horizontal="right"/>
    </xf>
    <xf numFmtId="169" fontId="8" fillId="0" borderId="44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169" fontId="8" fillId="0" borderId="44" xfId="0" applyNumberFormat="1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37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6"/>
  <sheetViews>
    <sheetView tabSelected="1" zoomScaleSheetLayoutView="100" zoomScalePageLayoutView="0" workbookViewId="0" topLeftCell="A1">
      <selection activeCell="C236" sqref="C236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4.421875" style="1" customWidth="1"/>
    <col min="6" max="6" width="5.7109375" style="1" customWidth="1"/>
    <col min="7" max="7" width="6.8515625" style="1" customWidth="1"/>
    <col min="8" max="9" width="5.8515625" style="1" customWidth="1"/>
    <col min="10" max="10" width="6.140625" style="1" customWidth="1"/>
    <col min="11" max="11" width="8.421875" style="1" customWidth="1"/>
    <col min="12" max="12" width="6.7109375" style="1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1.7109375" style="381" customWidth="1"/>
    <col min="19" max="16384" width="9.140625" style="1" customWidth="1"/>
  </cols>
  <sheetData>
    <row r="1" ht="11.25" customHeight="1">
      <c r="R1" s="380" t="s">
        <v>484</v>
      </c>
    </row>
    <row r="2" ht="11.25" customHeight="1">
      <c r="R2" s="380" t="s">
        <v>485</v>
      </c>
    </row>
    <row r="3" ht="12" customHeight="1">
      <c r="R3" s="380" t="s">
        <v>486</v>
      </c>
    </row>
    <row r="4" ht="12" customHeight="1">
      <c r="R4" s="380" t="s">
        <v>3</v>
      </c>
    </row>
    <row r="5" ht="12" customHeight="1">
      <c r="R5" s="380" t="s">
        <v>4</v>
      </c>
    </row>
    <row r="6" ht="10.5" customHeight="1">
      <c r="R6" s="380" t="s">
        <v>5</v>
      </c>
    </row>
    <row r="7" ht="11.25" customHeight="1">
      <c r="R7" s="380" t="s">
        <v>6</v>
      </c>
    </row>
    <row r="8" ht="11.25" customHeight="1">
      <c r="R8" s="380" t="s">
        <v>7</v>
      </c>
    </row>
    <row r="9" ht="11.25" customHeight="1">
      <c r="R9" s="380" t="s">
        <v>8</v>
      </c>
    </row>
    <row r="10" ht="12" customHeight="1">
      <c r="R10" s="380" t="s">
        <v>9</v>
      </c>
    </row>
    <row r="11" ht="15" hidden="1"/>
    <row r="12" spans="1:18" ht="15" customHeight="1">
      <c r="A12" s="631" t="s">
        <v>10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</row>
    <row r="13" spans="1:18" ht="15">
      <c r="A13" s="475" t="s">
        <v>11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</row>
    <row r="14" spans="1:18" ht="15">
      <c r="A14" s="632" t="s">
        <v>460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</row>
    <row r="17" spans="2:23" ht="15">
      <c r="B17" s="54" t="s">
        <v>478</v>
      </c>
      <c r="I17" s="2"/>
      <c r="J17" s="2"/>
      <c r="K17" s="2"/>
      <c r="L17" s="2"/>
      <c r="M17" s="2"/>
      <c r="N17" s="2"/>
      <c r="O17" s="2"/>
      <c r="S17" s="21"/>
      <c r="T17" s="21"/>
      <c r="U17" s="21"/>
      <c r="V17" s="21"/>
      <c r="W17" s="21"/>
    </row>
    <row r="19" ht="15">
      <c r="B19" s="1" t="s">
        <v>12</v>
      </c>
    </row>
    <row r="21" spans="1:18" ht="93" customHeight="1">
      <c r="A21" s="20" t="s">
        <v>13</v>
      </c>
      <c r="B21" s="20" t="s">
        <v>14</v>
      </c>
      <c r="C21" s="20" t="s">
        <v>15</v>
      </c>
      <c r="D21" s="578" t="s">
        <v>16</v>
      </c>
      <c r="E21" s="590"/>
      <c r="F21" s="578" t="s">
        <v>17</v>
      </c>
      <c r="G21" s="590"/>
      <c r="H21" s="578" t="s">
        <v>22</v>
      </c>
      <c r="I21" s="590"/>
      <c r="J21" s="578" t="s">
        <v>23</v>
      </c>
      <c r="K21" s="590"/>
      <c r="L21" s="578" t="s">
        <v>21</v>
      </c>
      <c r="M21" s="590"/>
      <c r="N21" s="578" t="s">
        <v>20</v>
      </c>
      <c r="O21" s="590"/>
      <c r="P21" s="20" t="s">
        <v>19</v>
      </c>
      <c r="Q21" s="578" t="s">
        <v>18</v>
      </c>
      <c r="R21" s="590"/>
    </row>
    <row r="22" spans="1:18" s="25" customFormat="1" ht="222" customHeight="1">
      <c r="A22" s="614">
        <v>1</v>
      </c>
      <c r="B22" s="614" t="s">
        <v>99</v>
      </c>
      <c r="C22" s="615" t="s">
        <v>145</v>
      </c>
      <c r="D22" s="614" t="s">
        <v>106</v>
      </c>
      <c r="E22" s="614"/>
      <c r="F22" s="625" t="s">
        <v>146</v>
      </c>
      <c r="G22" s="626"/>
      <c r="H22" s="625" t="s">
        <v>107</v>
      </c>
      <c r="I22" s="626"/>
      <c r="J22" s="605" t="s">
        <v>147</v>
      </c>
      <c r="K22" s="605"/>
      <c r="L22" s="614" t="s">
        <v>100</v>
      </c>
      <c r="M22" s="614"/>
      <c r="N22" s="614" t="s">
        <v>108</v>
      </c>
      <c r="O22" s="614"/>
      <c r="P22" s="605" t="s">
        <v>148</v>
      </c>
      <c r="Q22" s="619" t="s">
        <v>149</v>
      </c>
      <c r="R22" s="620"/>
    </row>
    <row r="23" spans="1:18" s="25" customFormat="1" ht="60.75" customHeight="1">
      <c r="A23" s="614"/>
      <c r="B23" s="614"/>
      <c r="C23" s="616"/>
      <c r="D23" s="614"/>
      <c r="E23" s="614"/>
      <c r="F23" s="627"/>
      <c r="G23" s="628"/>
      <c r="H23" s="627"/>
      <c r="I23" s="628"/>
      <c r="J23" s="605"/>
      <c r="K23" s="605"/>
      <c r="L23" s="614"/>
      <c r="M23" s="614"/>
      <c r="N23" s="614"/>
      <c r="O23" s="614"/>
      <c r="P23" s="605"/>
      <c r="Q23" s="621"/>
      <c r="R23" s="622"/>
    </row>
    <row r="24" spans="1:18" s="25" customFormat="1" ht="60.75" customHeight="1">
      <c r="A24" s="614"/>
      <c r="B24" s="614"/>
      <c r="C24" s="616"/>
      <c r="D24" s="614"/>
      <c r="E24" s="614"/>
      <c r="F24" s="627"/>
      <c r="G24" s="628"/>
      <c r="H24" s="627"/>
      <c r="I24" s="628"/>
      <c r="J24" s="605"/>
      <c r="K24" s="605"/>
      <c r="L24" s="614"/>
      <c r="M24" s="614"/>
      <c r="N24" s="614"/>
      <c r="O24" s="614"/>
      <c r="P24" s="605"/>
      <c r="Q24" s="621"/>
      <c r="R24" s="622"/>
    </row>
    <row r="25" spans="1:18" s="25" customFormat="1" ht="60.75" customHeight="1">
      <c r="A25" s="614"/>
      <c r="B25" s="614"/>
      <c r="C25" s="616"/>
      <c r="D25" s="614"/>
      <c r="E25" s="614"/>
      <c r="F25" s="627"/>
      <c r="G25" s="628"/>
      <c r="H25" s="627"/>
      <c r="I25" s="628"/>
      <c r="J25" s="605"/>
      <c r="K25" s="605"/>
      <c r="L25" s="614"/>
      <c r="M25" s="614"/>
      <c r="N25" s="614"/>
      <c r="O25" s="614"/>
      <c r="P25" s="605"/>
      <c r="Q25" s="621"/>
      <c r="R25" s="622"/>
    </row>
    <row r="26" spans="1:18" s="25" customFormat="1" ht="60.75" customHeight="1">
      <c r="A26" s="614"/>
      <c r="B26" s="614"/>
      <c r="C26" s="616"/>
      <c r="D26" s="614"/>
      <c r="E26" s="614"/>
      <c r="F26" s="627"/>
      <c r="G26" s="628"/>
      <c r="H26" s="627"/>
      <c r="I26" s="628"/>
      <c r="J26" s="605"/>
      <c r="K26" s="605"/>
      <c r="L26" s="614"/>
      <c r="M26" s="614"/>
      <c r="N26" s="614"/>
      <c r="O26" s="614"/>
      <c r="P26" s="605"/>
      <c r="Q26" s="621"/>
      <c r="R26" s="622"/>
    </row>
    <row r="27" spans="1:18" s="25" customFormat="1" ht="60.75" customHeight="1">
      <c r="A27" s="614"/>
      <c r="B27" s="614"/>
      <c r="C27" s="616"/>
      <c r="D27" s="614"/>
      <c r="E27" s="614"/>
      <c r="F27" s="627"/>
      <c r="G27" s="628"/>
      <c r="H27" s="627"/>
      <c r="I27" s="628"/>
      <c r="J27" s="605"/>
      <c r="K27" s="605"/>
      <c r="L27" s="614"/>
      <c r="M27" s="614"/>
      <c r="N27" s="614"/>
      <c r="O27" s="614"/>
      <c r="P27" s="605"/>
      <c r="Q27" s="621"/>
      <c r="R27" s="622"/>
    </row>
    <row r="28" spans="1:18" s="25" customFormat="1" ht="60.75" customHeight="1">
      <c r="A28" s="614"/>
      <c r="B28" s="614"/>
      <c r="C28" s="616"/>
      <c r="D28" s="614"/>
      <c r="E28" s="614"/>
      <c r="F28" s="627"/>
      <c r="G28" s="628"/>
      <c r="H28" s="627"/>
      <c r="I28" s="628"/>
      <c r="J28" s="605"/>
      <c r="K28" s="605"/>
      <c r="L28" s="614"/>
      <c r="M28" s="614"/>
      <c r="N28" s="614"/>
      <c r="O28" s="614"/>
      <c r="P28" s="605"/>
      <c r="Q28" s="621"/>
      <c r="R28" s="622"/>
    </row>
    <row r="29" spans="1:18" s="25" customFormat="1" ht="60.75" customHeight="1">
      <c r="A29" s="614"/>
      <c r="B29" s="614"/>
      <c r="C29" s="616"/>
      <c r="D29" s="614"/>
      <c r="E29" s="614"/>
      <c r="F29" s="627"/>
      <c r="G29" s="628"/>
      <c r="H29" s="627"/>
      <c r="I29" s="628"/>
      <c r="J29" s="605"/>
      <c r="K29" s="605"/>
      <c r="L29" s="614"/>
      <c r="M29" s="614"/>
      <c r="N29" s="614"/>
      <c r="O29" s="614"/>
      <c r="P29" s="605"/>
      <c r="Q29" s="621"/>
      <c r="R29" s="622"/>
    </row>
    <row r="30" spans="1:18" s="25" customFormat="1" ht="35.25" customHeight="1">
      <c r="A30" s="614"/>
      <c r="B30" s="614"/>
      <c r="C30" s="616"/>
      <c r="D30" s="614"/>
      <c r="E30" s="614"/>
      <c r="F30" s="627"/>
      <c r="G30" s="628"/>
      <c r="H30" s="627"/>
      <c r="I30" s="628"/>
      <c r="J30" s="605"/>
      <c r="K30" s="605"/>
      <c r="L30" s="614"/>
      <c r="M30" s="614"/>
      <c r="N30" s="614"/>
      <c r="O30" s="614"/>
      <c r="P30" s="605"/>
      <c r="Q30" s="621"/>
      <c r="R30" s="622"/>
    </row>
    <row r="31" spans="1:18" s="25" customFormat="1" ht="60.75" customHeight="1" hidden="1">
      <c r="A31" s="614"/>
      <c r="B31" s="614"/>
      <c r="C31" s="616"/>
      <c r="D31" s="614"/>
      <c r="E31" s="614"/>
      <c r="F31" s="627"/>
      <c r="G31" s="628"/>
      <c r="H31" s="627"/>
      <c r="I31" s="628"/>
      <c r="J31" s="605"/>
      <c r="K31" s="605"/>
      <c r="L31" s="614"/>
      <c r="M31" s="614"/>
      <c r="N31" s="614"/>
      <c r="O31" s="614"/>
      <c r="P31" s="605"/>
      <c r="Q31" s="621"/>
      <c r="R31" s="622"/>
    </row>
    <row r="32" spans="1:18" s="25" customFormat="1" ht="30.75" customHeight="1">
      <c r="A32" s="614"/>
      <c r="B32" s="614"/>
      <c r="C32" s="617"/>
      <c r="D32" s="614"/>
      <c r="E32" s="614"/>
      <c r="F32" s="629"/>
      <c r="G32" s="630"/>
      <c r="H32" s="629"/>
      <c r="I32" s="630"/>
      <c r="J32" s="605"/>
      <c r="K32" s="605"/>
      <c r="L32" s="614"/>
      <c r="M32" s="614"/>
      <c r="N32" s="614"/>
      <c r="O32" s="614"/>
      <c r="P32" s="605"/>
      <c r="Q32" s="623"/>
      <c r="R32" s="624"/>
    </row>
    <row r="35" ht="15">
      <c r="B35" s="1" t="s">
        <v>24</v>
      </c>
    </row>
    <row r="37" spans="1:18" ht="15" customHeight="1">
      <c r="A37" s="578" t="s">
        <v>14</v>
      </c>
      <c r="B37" s="590"/>
      <c r="C37" s="600" t="s">
        <v>29</v>
      </c>
      <c r="D37" s="532" t="s">
        <v>25</v>
      </c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</row>
    <row r="38" spans="1:18" ht="28.5" customHeight="1">
      <c r="A38" s="591"/>
      <c r="B38" s="592"/>
      <c r="C38" s="618"/>
      <c r="D38" s="532" t="s">
        <v>26</v>
      </c>
      <c r="E38" s="532"/>
      <c r="F38" s="532"/>
      <c r="G38" s="532"/>
      <c r="H38" s="532"/>
      <c r="I38" s="532"/>
      <c r="J38" s="507" t="s">
        <v>27</v>
      </c>
      <c r="K38" s="508"/>
      <c r="L38" s="508"/>
      <c r="M38" s="508"/>
      <c r="N38" s="508"/>
      <c r="O38" s="509"/>
      <c r="P38" s="532" t="s">
        <v>28</v>
      </c>
      <c r="Q38" s="532"/>
      <c r="R38" s="532"/>
    </row>
    <row r="39" spans="1:19" ht="83.25" customHeight="1">
      <c r="A39" s="591"/>
      <c r="B39" s="592"/>
      <c r="C39" s="618"/>
      <c r="D39" s="600" t="s">
        <v>30</v>
      </c>
      <c r="E39" s="600"/>
      <c r="F39" s="600" t="s">
        <v>31</v>
      </c>
      <c r="G39" s="600"/>
      <c r="H39" s="600" t="s">
        <v>32</v>
      </c>
      <c r="I39" s="600"/>
      <c r="J39" s="600" t="s">
        <v>30</v>
      </c>
      <c r="K39" s="600"/>
      <c r="L39" s="600" t="s">
        <v>31</v>
      </c>
      <c r="M39" s="600"/>
      <c r="N39" s="578" t="s">
        <v>32</v>
      </c>
      <c r="O39" s="590"/>
      <c r="P39" s="27" t="s">
        <v>30</v>
      </c>
      <c r="Q39" s="27" t="s">
        <v>31</v>
      </c>
      <c r="R39" s="382" t="s">
        <v>32</v>
      </c>
      <c r="S39" s="7"/>
    </row>
    <row r="40" spans="1:18" s="26" customFormat="1" ht="199.5" customHeight="1">
      <c r="A40" s="608" t="s">
        <v>99</v>
      </c>
      <c r="B40" s="608"/>
      <c r="C40" s="605" t="s">
        <v>137</v>
      </c>
      <c r="D40" s="612" t="s">
        <v>102</v>
      </c>
      <c r="E40" s="613"/>
      <c r="F40" s="612" t="s">
        <v>103</v>
      </c>
      <c r="G40" s="613"/>
      <c r="H40" s="609"/>
      <c r="I40" s="610"/>
      <c r="J40" s="611"/>
      <c r="K40" s="611"/>
      <c r="L40" s="609"/>
      <c r="M40" s="610"/>
      <c r="N40" s="611"/>
      <c r="O40" s="611"/>
      <c r="P40" s="36" t="s">
        <v>104</v>
      </c>
      <c r="Q40" s="37" t="s">
        <v>105</v>
      </c>
      <c r="R40" s="383"/>
    </row>
    <row r="41" spans="1:18" s="26" customFormat="1" ht="10.5">
      <c r="A41" s="608"/>
      <c r="B41" s="608"/>
      <c r="C41" s="605"/>
      <c r="D41" s="601"/>
      <c r="E41" s="602"/>
      <c r="F41" s="601"/>
      <c r="G41" s="602"/>
      <c r="H41" s="38"/>
      <c r="I41" s="39"/>
      <c r="J41" s="40"/>
      <c r="K41" s="40"/>
      <c r="L41" s="38"/>
      <c r="M41" s="39"/>
      <c r="N41" s="40"/>
      <c r="O41" s="40"/>
      <c r="P41" s="41"/>
      <c r="Q41" s="42"/>
      <c r="R41" s="384"/>
    </row>
    <row r="42" spans="1:18" s="26" customFormat="1" ht="10.5">
      <c r="A42" s="608"/>
      <c r="B42" s="608"/>
      <c r="C42" s="605"/>
      <c r="D42" s="601"/>
      <c r="E42" s="602"/>
      <c r="F42" s="601"/>
      <c r="G42" s="602"/>
      <c r="H42" s="38"/>
      <c r="I42" s="39"/>
      <c r="J42" s="40"/>
      <c r="K42" s="40"/>
      <c r="L42" s="38"/>
      <c r="M42" s="39"/>
      <c r="N42" s="40"/>
      <c r="O42" s="40"/>
      <c r="P42" s="41"/>
      <c r="Q42" s="42"/>
      <c r="R42" s="384"/>
    </row>
    <row r="43" spans="1:18" s="26" customFormat="1" ht="10.5">
      <c r="A43" s="608"/>
      <c r="B43" s="608"/>
      <c r="C43" s="605"/>
      <c r="D43" s="601"/>
      <c r="E43" s="602"/>
      <c r="F43" s="601"/>
      <c r="G43" s="602"/>
      <c r="H43" s="38"/>
      <c r="I43" s="39"/>
      <c r="J43" s="40"/>
      <c r="K43" s="40"/>
      <c r="L43" s="38"/>
      <c r="M43" s="39"/>
      <c r="N43" s="40"/>
      <c r="O43" s="40"/>
      <c r="P43" s="41"/>
      <c r="Q43" s="42"/>
      <c r="R43" s="384"/>
    </row>
    <row r="44" spans="1:18" s="26" customFormat="1" ht="10.5">
      <c r="A44" s="608"/>
      <c r="B44" s="608"/>
      <c r="C44" s="605"/>
      <c r="D44" s="601"/>
      <c r="E44" s="602"/>
      <c r="F44" s="601"/>
      <c r="G44" s="602"/>
      <c r="H44" s="38"/>
      <c r="I44" s="39"/>
      <c r="J44" s="40"/>
      <c r="K44" s="40"/>
      <c r="L44" s="38"/>
      <c r="M44" s="39"/>
      <c r="N44" s="40"/>
      <c r="O44" s="40"/>
      <c r="P44" s="41"/>
      <c r="Q44" s="42"/>
      <c r="R44" s="384"/>
    </row>
    <row r="45" spans="1:18" s="26" customFormat="1" ht="10.5">
      <c r="A45" s="608"/>
      <c r="B45" s="608"/>
      <c r="C45" s="605"/>
      <c r="D45" s="601"/>
      <c r="E45" s="602"/>
      <c r="F45" s="601"/>
      <c r="G45" s="602"/>
      <c r="H45" s="38"/>
      <c r="I45" s="39"/>
      <c r="J45" s="40"/>
      <c r="K45" s="40"/>
      <c r="L45" s="38"/>
      <c r="M45" s="39"/>
      <c r="N45" s="40"/>
      <c r="O45" s="40"/>
      <c r="P45" s="41"/>
      <c r="Q45" s="42"/>
      <c r="R45" s="384"/>
    </row>
    <row r="46" spans="1:18" s="26" customFormat="1" ht="10.5">
      <c r="A46" s="608"/>
      <c r="B46" s="608"/>
      <c r="C46" s="605"/>
      <c r="D46" s="601"/>
      <c r="E46" s="602"/>
      <c r="F46" s="601"/>
      <c r="G46" s="602"/>
      <c r="H46" s="38"/>
      <c r="I46" s="39"/>
      <c r="J46" s="40"/>
      <c r="K46" s="40"/>
      <c r="L46" s="38"/>
      <c r="M46" s="39"/>
      <c r="N46" s="40"/>
      <c r="O46" s="40"/>
      <c r="P46" s="41"/>
      <c r="Q46" s="42"/>
      <c r="R46" s="384"/>
    </row>
    <row r="47" spans="1:18" s="26" customFormat="1" ht="10.5">
      <c r="A47" s="608"/>
      <c r="B47" s="608"/>
      <c r="C47" s="605"/>
      <c r="D47" s="601"/>
      <c r="E47" s="602"/>
      <c r="F47" s="601"/>
      <c r="G47" s="602"/>
      <c r="H47" s="38"/>
      <c r="I47" s="39"/>
      <c r="J47" s="40"/>
      <c r="K47" s="40"/>
      <c r="L47" s="38"/>
      <c r="M47" s="39"/>
      <c r="N47" s="40"/>
      <c r="O47" s="40"/>
      <c r="P47" s="41"/>
      <c r="Q47" s="42"/>
      <c r="R47" s="384"/>
    </row>
    <row r="48" spans="1:18" s="26" customFormat="1" ht="10.5">
      <c r="A48" s="608"/>
      <c r="B48" s="608"/>
      <c r="C48" s="605"/>
      <c r="D48" s="601"/>
      <c r="E48" s="602"/>
      <c r="F48" s="601"/>
      <c r="G48" s="602"/>
      <c r="H48" s="38"/>
      <c r="I48" s="39"/>
      <c r="J48" s="40"/>
      <c r="K48" s="40"/>
      <c r="L48" s="38"/>
      <c r="M48" s="39"/>
      <c r="N48" s="40"/>
      <c r="O48" s="40"/>
      <c r="P48" s="41"/>
      <c r="Q48" s="42"/>
      <c r="R48" s="384"/>
    </row>
    <row r="49" spans="1:18" s="26" customFormat="1" ht="10.5">
      <c r="A49" s="608"/>
      <c r="B49" s="608"/>
      <c r="C49" s="605"/>
      <c r="D49" s="601"/>
      <c r="E49" s="602"/>
      <c r="F49" s="601"/>
      <c r="G49" s="602"/>
      <c r="H49" s="38"/>
      <c r="I49" s="39"/>
      <c r="J49" s="40"/>
      <c r="K49" s="40"/>
      <c r="L49" s="38"/>
      <c r="M49" s="39"/>
      <c r="N49" s="40"/>
      <c r="O49" s="40"/>
      <c r="P49" s="41"/>
      <c r="Q49" s="42"/>
      <c r="R49" s="384"/>
    </row>
    <row r="50" spans="1:18" s="26" customFormat="1" ht="10.5">
      <c r="A50" s="608"/>
      <c r="B50" s="608"/>
      <c r="C50" s="605"/>
      <c r="D50" s="601"/>
      <c r="E50" s="602"/>
      <c r="F50" s="601"/>
      <c r="G50" s="602"/>
      <c r="H50" s="38"/>
      <c r="I50" s="39"/>
      <c r="J50" s="40"/>
      <c r="K50" s="40"/>
      <c r="L50" s="38"/>
      <c r="M50" s="39"/>
      <c r="N50" s="40"/>
      <c r="O50" s="40"/>
      <c r="P50" s="41"/>
      <c r="Q50" s="42"/>
      <c r="R50" s="384"/>
    </row>
    <row r="51" spans="1:18" s="26" customFormat="1" ht="10.5">
      <c r="A51" s="608"/>
      <c r="B51" s="608"/>
      <c r="C51" s="605"/>
      <c r="D51" s="601"/>
      <c r="E51" s="602"/>
      <c r="F51" s="601"/>
      <c r="G51" s="602"/>
      <c r="H51" s="38"/>
      <c r="I51" s="39"/>
      <c r="J51" s="40"/>
      <c r="K51" s="40"/>
      <c r="L51" s="38"/>
      <c r="M51" s="39"/>
      <c r="N51" s="40"/>
      <c r="O51" s="40"/>
      <c r="P51" s="41"/>
      <c r="Q51" s="42"/>
      <c r="R51" s="384"/>
    </row>
    <row r="52" spans="1:18" s="26" customFormat="1" ht="10.5">
      <c r="A52" s="608"/>
      <c r="B52" s="608"/>
      <c r="C52" s="605"/>
      <c r="D52" s="601"/>
      <c r="E52" s="602"/>
      <c r="F52" s="601"/>
      <c r="G52" s="602"/>
      <c r="H52" s="38"/>
      <c r="I52" s="39"/>
      <c r="J52" s="40"/>
      <c r="K52" s="40"/>
      <c r="L52" s="38"/>
      <c r="M52" s="39"/>
      <c r="N52" s="40"/>
      <c r="O52" s="40"/>
      <c r="P52" s="41"/>
      <c r="Q52" s="42"/>
      <c r="R52" s="384"/>
    </row>
    <row r="53" spans="1:18" s="26" customFormat="1" ht="10.5">
      <c r="A53" s="608"/>
      <c r="B53" s="608"/>
      <c r="C53" s="605"/>
      <c r="D53" s="601"/>
      <c r="E53" s="602"/>
      <c r="F53" s="601"/>
      <c r="G53" s="602"/>
      <c r="H53" s="38"/>
      <c r="I53" s="39"/>
      <c r="J53" s="40"/>
      <c r="K53" s="40"/>
      <c r="L53" s="38"/>
      <c r="M53" s="39"/>
      <c r="N53" s="40"/>
      <c r="O53" s="40"/>
      <c r="P53" s="41"/>
      <c r="Q53" s="42"/>
      <c r="R53" s="384"/>
    </row>
    <row r="54" spans="1:18" s="26" customFormat="1" ht="10.5">
      <c r="A54" s="608"/>
      <c r="B54" s="608"/>
      <c r="C54" s="605"/>
      <c r="D54" s="601"/>
      <c r="E54" s="602"/>
      <c r="F54" s="601"/>
      <c r="G54" s="602"/>
      <c r="H54" s="38"/>
      <c r="I54" s="39"/>
      <c r="J54" s="40"/>
      <c r="K54" s="40"/>
      <c r="L54" s="38"/>
      <c r="M54" s="39"/>
      <c r="N54" s="40"/>
      <c r="O54" s="40"/>
      <c r="P54" s="41"/>
      <c r="Q54" s="42"/>
      <c r="R54" s="384"/>
    </row>
    <row r="55" spans="1:18" s="26" customFormat="1" ht="34.5" customHeight="1">
      <c r="A55" s="608"/>
      <c r="B55" s="608"/>
      <c r="C55" s="605"/>
      <c r="D55" s="601"/>
      <c r="E55" s="602"/>
      <c r="F55" s="601"/>
      <c r="G55" s="602"/>
      <c r="H55" s="38"/>
      <c r="I55" s="40"/>
      <c r="J55" s="38"/>
      <c r="K55" s="39"/>
      <c r="L55" s="40"/>
      <c r="M55" s="39"/>
      <c r="N55" s="40"/>
      <c r="O55" s="39"/>
      <c r="P55" s="43"/>
      <c r="Q55" s="42"/>
      <c r="R55" s="384"/>
    </row>
    <row r="56" spans="1:18" s="26" customFormat="1" ht="34.5" customHeight="1">
      <c r="A56" s="608"/>
      <c r="B56" s="608"/>
      <c r="C56" s="605"/>
      <c r="D56" s="601"/>
      <c r="E56" s="602"/>
      <c r="F56" s="601"/>
      <c r="G56" s="602"/>
      <c r="H56" s="38"/>
      <c r="I56" s="40"/>
      <c r="J56" s="38"/>
      <c r="K56" s="39"/>
      <c r="L56" s="40"/>
      <c r="M56" s="40"/>
      <c r="N56" s="38"/>
      <c r="O56" s="39"/>
      <c r="P56" s="42"/>
      <c r="Q56" s="41"/>
      <c r="R56" s="385"/>
    </row>
    <row r="57" spans="1:18" s="26" customFormat="1" ht="34.5" customHeight="1">
      <c r="A57" s="608"/>
      <c r="B57" s="608"/>
      <c r="C57" s="605"/>
      <c r="D57" s="601"/>
      <c r="E57" s="602"/>
      <c r="F57" s="601"/>
      <c r="G57" s="602"/>
      <c r="H57" s="38"/>
      <c r="I57" s="40"/>
      <c r="J57" s="38"/>
      <c r="K57" s="39"/>
      <c r="L57" s="40"/>
      <c r="M57" s="40"/>
      <c r="N57" s="38"/>
      <c r="O57" s="39"/>
      <c r="P57" s="42"/>
      <c r="Q57" s="41"/>
      <c r="R57" s="385"/>
    </row>
    <row r="58" spans="1:18" s="26" customFormat="1" ht="46.5" customHeight="1">
      <c r="A58" s="608"/>
      <c r="B58" s="608"/>
      <c r="C58" s="605"/>
      <c r="D58" s="601"/>
      <c r="E58" s="602"/>
      <c r="F58" s="601"/>
      <c r="G58" s="602"/>
      <c r="H58" s="38"/>
      <c r="I58" s="40"/>
      <c r="J58" s="38"/>
      <c r="K58" s="39"/>
      <c r="L58" s="40"/>
      <c r="M58" s="40"/>
      <c r="N58" s="38"/>
      <c r="O58" s="39"/>
      <c r="P58" s="42"/>
      <c r="Q58" s="41"/>
      <c r="R58" s="385"/>
    </row>
    <row r="59" spans="1:18" s="26" customFormat="1" ht="46.5" customHeight="1">
      <c r="A59" s="608"/>
      <c r="B59" s="608"/>
      <c r="C59" s="605"/>
      <c r="D59" s="601"/>
      <c r="E59" s="602"/>
      <c r="F59" s="601"/>
      <c r="G59" s="602"/>
      <c r="H59" s="38"/>
      <c r="I59" s="40"/>
      <c r="J59" s="38"/>
      <c r="K59" s="39"/>
      <c r="L59" s="40"/>
      <c r="M59" s="40"/>
      <c r="N59" s="38"/>
      <c r="O59" s="39"/>
      <c r="P59" s="42"/>
      <c r="Q59" s="41"/>
      <c r="R59" s="385"/>
    </row>
    <row r="60" spans="1:18" s="26" customFormat="1" ht="46.5" customHeight="1">
      <c r="A60" s="608"/>
      <c r="B60" s="608"/>
      <c r="C60" s="605"/>
      <c r="D60" s="601"/>
      <c r="E60" s="602"/>
      <c r="F60" s="601"/>
      <c r="G60" s="602"/>
      <c r="H60" s="38"/>
      <c r="I60" s="40"/>
      <c r="J60" s="38"/>
      <c r="K60" s="39"/>
      <c r="L60" s="40"/>
      <c r="M60" s="40"/>
      <c r="N60" s="38"/>
      <c r="O60" s="39"/>
      <c r="P60" s="42"/>
      <c r="Q60" s="41"/>
      <c r="R60" s="385"/>
    </row>
    <row r="61" spans="1:18" s="26" customFormat="1" ht="2.25" customHeight="1">
      <c r="A61" s="608"/>
      <c r="B61" s="608"/>
      <c r="C61" s="605"/>
      <c r="D61" s="44"/>
      <c r="E61" s="45"/>
      <c r="F61" s="46"/>
      <c r="G61" s="47"/>
      <c r="H61" s="48"/>
      <c r="I61" s="49"/>
      <c r="J61" s="48"/>
      <c r="K61" s="51"/>
      <c r="L61" s="49"/>
      <c r="M61" s="49"/>
      <c r="N61" s="49"/>
      <c r="O61" s="51"/>
      <c r="P61" s="50"/>
      <c r="Q61" s="50"/>
      <c r="R61" s="386"/>
    </row>
    <row r="62" spans="9:11" ht="15">
      <c r="I62" s="21"/>
      <c r="J62" s="21"/>
      <c r="K62" s="21"/>
    </row>
    <row r="63" ht="15">
      <c r="B63" s="1" t="s">
        <v>33</v>
      </c>
    </row>
    <row r="65" spans="1:17" ht="28.5" customHeight="1">
      <c r="A65" s="532" t="s">
        <v>35</v>
      </c>
      <c r="B65" s="532"/>
      <c r="C65" s="532"/>
      <c r="D65" s="507" t="s">
        <v>63</v>
      </c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9"/>
      <c r="P65" s="578" t="s">
        <v>34</v>
      </c>
      <c r="Q65" s="590"/>
    </row>
    <row r="66" spans="1:17" ht="15">
      <c r="A66" s="532"/>
      <c r="B66" s="532"/>
      <c r="C66" s="532"/>
      <c r="D66" s="9">
        <v>1</v>
      </c>
      <c r="E66" s="9">
        <v>2</v>
      </c>
      <c r="F66" s="9">
        <v>3</v>
      </c>
      <c r="G66" s="9">
        <v>4</v>
      </c>
      <c r="H66" s="9">
        <v>5</v>
      </c>
      <c r="I66" s="9">
        <v>6</v>
      </c>
      <c r="J66" s="9">
        <v>7</v>
      </c>
      <c r="K66" s="9">
        <v>8</v>
      </c>
      <c r="L66" s="9">
        <v>9</v>
      </c>
      <c r="M66" s="9">
        <v>10</v>
      </c>
      <c r="N66" s="9">
        <v>11</v>
      </c>
      <c r="O66" s="9">
        <v>12</v>
      </c>
      <c r="P66" s="606"/>
      <c r="Q66" s="607"/>
    </row>
    <row r="67" spans="1:17" ht="118.5" customHeight="1">
      <c r="A67" s="554" t="s">
        <v>109</v>
      </c>
      <c r="B67" s="554"/>
      <c r="C67" s="555"/>
      <c r="D67" s="8">
        <f>D68</f>
        <v>429</v>
      </c>
      <c r="E67" s="8">
        <f aca="true" t="shared" si="0" ref="E67:O67">E68</f>
        <v>429</v>
      </c>
      <c r="F67" s="8">
        <f t="shared" si="0"/>
        <v>429</v>
      </c>
      <c r="G67" s="8">
        <f t="shared" si="0"/>
        <v>429</v>
      </c>
      <c r="H67" s="8">
        <f t="shared" si="0"/>
        <v>429</v>
      </c>
      <c r="I67" s="8">
        <f t="shared" si="0"/>
        <v>429</v>
      </c>
      <c r="J67" s="8">
        <f t="shared" si="0"/>
        <v>429</v>
      </c>
      <c r="K67" s="8">
        <f t="shared" si="0"/>
        <v>429</v>
      </c>
      <c r="L67" s="8">
        <f t="shared" si="0"/>
        <v>439</v>
      </c>
      <c r="M67" s="8">
        <f t="shared" si="0"/>
        <v>439</v>
      </c>
      <c r="N67" s="8">
        <f t="shared" si="0"/>
        <v>439</v>
      </c>
      <c r="O67" s="8">
        <f t="shared" si="0"/>
        <v>439</v>
      </c>
      <c r="P67" s="518">
        <f>ROUND((D67*8+L67*4)/12,0)</f>
        <v>432</v>
      </c>
      <c r="Q67" s="519"/>
    </row>
    <row r="68" spans="1:17" ht="50.25" customHeight="1">
      <c r="A68" s="553" t="s">
        <v>142</v>
      </c>
      <c r="B68" s="554"/>
      <c r="C68" s="555"/>
      <c r="D68" s="335">
        <v>429</v>
      </c>
      <c r="E68" s="15">
        <f aca="true" t="shared" si="1" ref="E68:O70">D68</f>
        <v>429</v>
      </c>
      <c r="F68" s="15">
        <f t="shared" si="1"/>
        <v>429</v>
      </c>
      <c r="G68" s="15">
        <f t="shared" si="1"/>
        <v>429</v>
      </c>
      <c r="H68" s="15">
        <f t="shared" si="1"/>
        <v>429</v>
      </c>
      <c r="I68" s="15">
        <f t="shared" si="1"/>
        <v>429</v>
      </c>
      <c r="J68" s="15">
        <f t="shared" si="1"/>
        <v>429</v>
      </c>
      <c r="K68" s="15">
        <f t="shared" si="1"/>
        <v>429</v>
      </c>
      <c r="L68" s="335">
        <v>439</v>
      </c>
      <c r="M68" s="15">
        <f t="shared" si="1"/>
        <v>439</v>
      </c>
      <c r="N68" s="15">
        <f t="shared" si="1"/>
        <v>439</v>
      </c>
      <c r="O68" s="15">
        <f t="shared" si="1"/>
        <v>439</v>
      </c>
      <c r="P68" s="518">
        <f>P67</f>
        <v>432</v>
      </c>
      <c r="Q68" s="519"/>
    </row>
    <row r="69" spans="1:17" ht="34.5" customHeight="1">
      <c r="A69" s="553" t="s">
        <v>143</v>
      </c>
      <c r="B69" s="554"/>
      <c r="C69" s="555"/>
      <c r="D69" s="15">
        <f>D68</f>
        <v>429</v>
      </c>
      <c r="E69" s="15">
        <f t="shared" si="1"/>
        <v>429</v>
      </c>
      <c r="F69" s="15">
        <f t="shared" si="1"/>
        <v>429</v>
      </c>
      <c r="G69" s="15">
        <f t="shared" si="1"/>
        <v>429</v>
      </c>
      <c r="H69" s="15">
        <f t="shared" si="1"/>
        <v>429</v>
      </c>
      <c r="I69" s="15">
        <f t="shared" si="1"/>
        <v>429</v>
      </c>
      <c r="J69" s="15">
        <f t="shared" si="1"/>
        <v>429</v>
      </c>
      <c r="K69" s="15">
        <f t="shared" si="1"/>
        <v>429</v>
      </c>
      <c r="L69" s="15">
        <f>L68</f>
        <v>439</v>
      </c>
      <c r="M69" s="15">
        <f t="shared" si="1"/>
        <v>439</v>
      </c>
      <c r="N69" s="15">
        <f t="shared" si="1"/>
        <v>439</v>
      </c>
      <c r="O69" s="15">
        <f t="shared" si="1"/>
        <v>439</v>
      </c>
      <c r="P69" s="518">
        <f>P68</f>
        <v>432</v>
      </c>
      <c r="Q69" s="519"/>
    </row>
    <row r="70" spans="1:17" ht="42" customHeight="1">
      <c r="A70" s="553" t="s">
        <v>144</v>
      </c>
      <c r="B70" s="554"/>
      <c r="C70" s="555"/>
      <c r="D70" s="15">
        <f>D69</f>
        <v>429</v>
      </c>
      <c r="E70" s="15">
        <f t="shared" si="1"/>
        <v>429</v>
      </c>
      <c r="F70" s="15">
        <f t="shared" si="1"/>
        <v>429</v>
      </c>
      <c r="G70" s="15">
        <f t="shared" si="1"/>
        <v>429</v>
      </c>
      <c r="H70" s="15">
        <f t="shared" si="1"/>
        <v>429</v>
      </c>
      <c r="I70" s="15">
        <f t="shared" si="1"/>
        <v>429</v>
      </c>
      <c r="J70" s="15">
        <f t="shared" si="1"/>
        <v>429</v>
      </c>
      <c r="K70" s="15">
        <f t="shared" si="1"/>
        <v>429</v>
      </c>
      <c r="L70" s="15">
        <f>L69</f>
        <v>439</v>
      </c>
      <c r="M70" s="15">
        <f t="shared" si="1"/>
        <v>439</v>
      </c>
      <c r="N70" s="15">
        <f t="shared" si="1"/>
        <v>439</v>
      </c>
      <c r="O70" s="15">
        <f t="shared" si="1"/>
        <v>439</v>
      </c>
      <c r="P70" s="518">
        <f>P69</f>
        <v>432</v>
      </c>
      <c r="Q70" s="519"/>
    </row>
    <row r="71" ht="15" hidden="1"/>
    <row r="72" ht="15.75" thickBot="1"/>
    <row r="73" spans="1:2" ht="15">
      <c r="A73" s="11" t="s">
        <v>64</v>
      </c>
      <c r="B73" s="12" t="s">
        <v>150</v>
      </c>
    </row>
    <row r="75" ht="15" hidden="1"/>
    <row r="76" spans="1:18" ht="27.75" customHeight="1">
      <c r="A76" s="499" t="s">
        <v>40</v>
      </c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</row>
    <row r="79" ht="15">
      <c r="B79" s="1" t="s">
        <v>37</v>
      </c>
    </row>
    <row r="81" ht="15">
      <c r="B81" s="1" t="s">
        <v>85</v>
      </c>
    </row>
    <row r="83" spans="1:17" ht="15" customHeight="1">
      <c r="A83" s="532" t="s">
        <v>38</v>
      </c>
      <c r="B83" s="532"/>
      <c r="C83" s="532"/>
      <c r="D83" s="507" t="s">
        <v>63</v>
      </c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9"/>
      <c r="P83" s="578" t="s">
        <v>39</v>
      </c>
      <c r="Q83" s="590"/>
    </row>
    <row r="84" spans="1:17" ht="15.75" thickBot="1">
      <c r="A84" s="532"/>
      <c r="B84" s="532"/>
      <c r="C84" s="532"/>
      <c r="D84" s="378">
        <v>1</v>
      </c>
      <c r="E84" s="378">
        <v>2</v>
      </c>
      <c r="F84" s="378">
        <v>3</v>
      </c>
      <c r="G84" s="378">
        <v>4</v>
      </c>
      <c r="H84" s="378">
        <v>5</v>
      </c>
      <c r="I84" s="378">
        <v>6</v>
      </c>
      <c r="J84" s="378">
        <v>7</v>
      </c>
      <c r="K84" s="378">
        <v>8</v>
      </c>
      <c r="L84" s="378">
        <v>9</v>
      </c>
      <c r="M84" s="378">
        <v>10</v>
      </c>
      <c r="N84" s="378">
        <v>11</v>
      </c>
      <c r="O84" s="378">
        <v>12</v>
      </c>
      <c r="P84" s="591"/>
      <c r="Q84" s="592"/>
    </row>
    <row r="85" spans="1:17" ht="91.5" customHeight="1" thickBot="1">
      <c r="A85" s="554" t="s">
        <v>110</v>
      </c>
      <c r="B85" s="554"/>
      <c r="C85" s="554"/>
      <c r="D85" s="412">
        <f>D108+D120</f>
        <v>864185</v>
      </c>
      <c r="E85" s="413">
        <f aca="true" t="shared" si="2" ref="E85:P85">E108+E120</f>
        <v>1741957</v>
      </c>
      <c r="F85" s="413">
        <f t="shared" si="2"/>
        <v>1814330</v>
      </c>
      <c r="G85" s="413">
        <f t="shared" si="2"/>
        <v>2934322</v>
      </c>
      <c r="H85" s="413">
        <f t="shared" si="2"/>
        <v>1749268</v>
      </c>
      <c r="I85" s="413">
        <f t="shared" si="2"/>
        <v>2622294</v>
      </c>
      <c r="J85" s="413">
        <f t="shared" si="2"/>
        <v>1055859</v>
      </c>
      <c r="K85" s="413">
        <f t="shared" si="2"/>
        <v>556352</v>
      </c>
      <c r="L85" s="413">
        <f t="shared" si="2"/>
        <v>1160049</v>
      </c>
      <c r="M85" s="413">
        <f t="shared" si="2"/>
        <v>2962326</v>
      </c>
      <c r="N85" s="413">
        <f t="shared" si="2"/>
        <v>772494</v>
      </c>
      <c r="O85" s="413">
        <f t="shared" si="2"/>
        <v>2862129</v>
      </c>
      <c r="P85" s="603">
        <f t="shared" si="2"/>
        <v>21095565</v>
      </c>
      <c r="Q85" s="604"/>
    </row>
    <row r="86" ht="15" hidden="1"/>
    <row r="87" ht="15.75" thickBot="1"/>
    <row r="88" spans="1:13" ht="15">
      <c r="A88" s="11" t="s">
        <v>64</v>
      </c>
      <c r="B88" s="12" t="s">
        <v>150</v>
      </c>
      <c r="M88" s="1" t="s">
        <v>91</v>
      </c>
    </row>
    <row r="90" spans="1:18" ht="29.25" customHeight="1">
      <c r="A90" s="499" t="s">
        <v>40</v>
      </c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</row>
    <row r="94" ht="15">
      <c r="B94" s="1" t="s">
        <v>41</v>
      </c>
    </row>
    <row r="96" spans="1:17" ht="15" customHeight="1">
      <c r="A96" s="532" t="s">
        <v>35</v>
      </c>
      <c r="B96" s="532"/>
      <c r="C96" s="532" t="s">
        <v>42</v>
      </c>
      <c r="D96" s="507" t="s">
        <v>65</v>
      </c>
      <c r="E96" s="508"/>
      <c r="F96" s="508"/>
      <c r="G96" s="508"/>
      <c r="H96" s="508"/>
      <c r="I96" s="508"/>
      <c r="J96" s="508"/>
      <c r="K96" s="508"/>
      <c r="L96" s="508"/>
      <c r="M96" s="508"/>
      <c r="N96" s="508"/>
      <c r="O96" s="509"/>
      <c r="P96" s="532" t="s">
        <v>39</v>
      </c>
      <c r="Q96" s="532"/>
    </row>
    <row r="97" spans="1:17" ht="41.25" customHeight="1" thickBot="1">
      <c r="A97" s="532"/>
      <c r="B97" s="532"/>
      <c r="C97" s="532"/>
      <c r="D97" s="9">
        <v>1</v>
      </c>
      <c r="E97" s="9">
        <v>2</v>
      </c>
      <c r="F97" s="9">
        <v>3</v>
      </c>
      <c r="G97" s="9">
        <v>4</v>
      </c>
      <c r="H97" s="9">
        <v>5</v>
      </c>
      <c r="I97" s="9">
        <v>6</v>
      </c>
      <c r="J97" s="9">
        <v>7</v>
      </c>
      <c r="K97" s="9">
        <v>8</v>
      </c>
      <c r="L97" s="9">
        <v>9</v>
      </c>
      <c r="M97" s="9">
        <v>10</v>
      </c>
      <c r="N97" s="9">
        <v>11</v>
      </c>
      <c r="O97" s="9">
        <v>12</v>
      </c>
      <c r="P97" s="600"/>
      <c r="Q97" s="600"/>
    </row>
    <row r="98" spans="1:17" ht="41.25" customHeight="1">
      <c r="A98" s="586" t="s">
        <v>138</v>
      </c>
      <c r="B98" s="587"/>
      <c r="C98" s="13" t="s">
        <v>43</v>
      </c>
      <c r="D98" s="374">
        <f>ROUND(D99/D67,2)</f>
        <v>0</v>
      </c>
      <c r="E98" s="374">
        <f aca="true" t="shared" si="3" ref="E98:O98">ROUND(E99/E67,2)</f>
        <v>0</v>
      </c>
      <c r="F98" s="374">
        <f t="shared" si="3"/>
        <v>0</v>
      </c>
      <c r="G98" s="374">
        <f t="shared" si="3"/>
        <v>0</v>
      </c>
      <c r="H98" s="374">
        <f t="shared" si="3"/>
        <v>0</v>
      </c>
      <c r="I98" s="374">
        <f t="shared" si="3"/>
        <v>0</v>
      </c>
      <c r="J98" s="374">
        <f t="shared" si="3"/>
        <v>0</v>
      </c>
      <c r="K98" s="374">
        <f t="shared" si="3"/>
        <v>0</v>
      </c>
      <c r="L98" s="374">
        <f t="shared" si="3"/>
        <v>0</v>
      </c>
      <c r="M98" s="374">
        <f t="shared" si="3"/>
        <v>0</v>
      </c>
      <c r="N98" s="374">
        <f t="shared" si="3"/>
        <v>0</v>
      </c>
      <c r="O98" s="410">
        <f t="shared" si="3"/>
        <v>0</v>
      </c>
      <c r="P98" s="598">
        <f>SUM(D98:O98)</f>
        <v>0</v>
      </c>
      <c r="Q98" s="599"/>
    </row>
    <row r="99" spans="1:18" ht="72.75" customHeight="1">
      <c r="A99" s="588"/>
      <c r="B99" s="589"/>
      <c r="C99" s="13" t="s">
        <v>44</v>
      </c>
      <c r="D99" s="375">
        <f>'таблица вспом'!C32</f>
        <v>0</v>
      </c>
      <c r="E99" s="375">
        <f>'таблица вспом'!D32</f>
        <v>0</v>
      </c>
      <c r="F99" s="375">
        <f>'таблица вспом'!E32</f>
        <v>0</v>
      </c>
      <c r="G99" s="375">
        <f>'таблица вспом'!G32</f>
        <v>0</v>
      </c>
      <c r="H99" s="375">
        <f>'таблица вспом'!H32</f>
        <v>0</v>
      </c>
      <c r="I99" s="375">
        <f>'таблица вспом'!I32</f>
        <v>0</v>
      </c>
      <c r="J99" s="375">
        <f>'таблица вспом'!K32</f>
        <v>0</v>
      </c>
      <c r="K99" s="375">
        <f>'таблица вспом'!L32</f>
        <v>0</v>
      </c>
      <c r="L99" s="375">
        <f>'таблица вспом'!M32</f>
        <v>0</v>
      </c>
      <c r="M99" s="375">
        <f>'таблица вспом'!O32</f>
        <v>0</v>
      </c>
      <c r="N99" s="375">
        <f>'таблица вспом'!P32</f>
        <v>0</v>
      </c>
      <c r="O99" s="411">
        <f>'таблица вспом'!Q32</f>
        <v>0</v>
      </c>
      <c r="P99" s="593">
        <f aca="true" t="shared" si="4" ref="P99:P105">SUM(D99:O99)</f>
        <v>0</v>
      </c>
      <c r="Q99" s="594"/>
      <c r="R99" s="387"/>
    </row>
    <row r="100" spans="1:17" ht="54.75" customHeight="1">
      <c r="A100" s="586" t="s">
        <v>139</v>
      </c>
      <c r="B100" s="587"/>
      <c r="C100" s="13" t="s">
        <v>43</v>
      </c>
      <c r="D100" s="374">
        <f aca="true" t="shared" si="5" ref="D100:O100">ROUND(D101/D67,2)</f>
        <v>708.63</v>
      </c>
      <c r="E100" s="374">
        <f t="shared" si="5"/>
        <v>2306.58</v>
      </c>
      <c r="F100" s="374">
        <f t="shared" si="5"/>
        <v>2319.02</v>
      </c>
      <c r="G100" s="374">
        <f t="shared" si="5"/>
        <v>4084.85</v>
      </c>
      <c r="H100" s="374">
        <f t="shared" si="5"/>
        <v>1842.82</v>
      </c>
      <c r="I100" s="374">
        <f t="shared" si="5"/>
        <v>3705.41</v>
      </c>
      <c r="J100" s="374">
        <f t="shared" si="5"/>
        <v>922.63</v>
      </c>
      <c r="K100" s="374">
        <f t="shared" si="5"/>
        <v>776.95</v>
      </c>
      <c r="L100" s="374">
        <f t="shared" si="5"/>
        <v>1212.44</v>
      </c>
      <c r="M100" s="374">
        <f t="shared" si="5"/>
        <v>4093.12</v>
      </c>
      <c r="N100" s="374">
        <f t="shared" si="5"/>
        <v>712.08</v>
      </c>
      <c r="O100" s="410">
        <f t="shared" si="5"/>
        <v>5349.54</v>
      </c>
      <c r="P100" s="593">
        <f>SUM(D100:O100)</f>
        <v>28034.07</v>
      </c>
      <c r="Q100" s="594"/>
    </row>
    <row r="101" spans="1:17" ht="64.5" customHeight="1">
      <c r="A101" s="588"/>
      <c r="B101" s="589"/>
      <c r="C101" s="13" t="s">
        <v>44</v>
      </c>
      <c r="D101" s="375">
        <f>'таблица вспом'!C31</f>
        <v>304000.27</v>
      </c>
      <c r="E101" s="375">
        <f>'таблица вспом'!D31</f>
        <v>989520.68</v>
      </c>
      <c r="F101" s="375">
        <f>'таблица вспом'!E31</f>
        <v>994861.68</v>
      </c>
      <c r="G101" s="375">
        <f>'таблица вспом'!G31</f>
        <v>1752399.09</v>
      </c>
      <c r="H101" s="375">
        <f>'таблица вспом'!H31</f>
        <v>790568.61</v>
      </c>
      <c r="I101" s="375">
        <f>'таблица вспом'!I31</f>
        <v>1589622.02</v>
      </c>
      <c r="J101" s="375">
        <f>'таблица вспом'!K31</f>
        <v>395808.27</v>
      </c>
      <c r="K101" s="375">
        <f>'таблица вспом'!L31</f>
        <v>333312.41</v>
      </c>
      <c r="L101" s="375">
        <f>'таблица вспом'!M31</f>
        <v>532263.35</v>
      </c>
      <c r="M101" s="375">
        <f>'таблица вспом'!O31</f>
        <v>1796881.76</v>
      </c>
      <c r="N101" s="375">
        <f>'таблица вспом'!P31</f>
        <v>312602.94</v>
      </c>
      <c r="O101" s="411">
        <f>'таблица вспом'!Q31</f>
        <v>2348445.92</v>
      </c>
      <c r="P101" s="593">
        <f>SUM(D101:O101)</f>
        <v>12140287</v>
      </c>
      <c r="Q101" s="594"/>
    </row>
    <row r="102" spans="1:17" ht="41.25" customHeight="1">
      <c r="A102" s="595" t="s">
        <v>140</v>
      </c>
      <c r="B102" s="595"/>
      <c r="C102" s="13" t="s">
        <v>43</v>
      </c>
      <c r="D102" s="374">
        <f aca="true" t="shared" si="6" ref="D102:O102">ROUND(D103/D67,2)</f>
        <v>521.87</v>
      </c>
      <c r="E102" s="374">
        <f t="shared" si="6"/>
        <v>648.47</v>
      </c>
      <c r="F102" s="374">
        <f t="shared" si="6"/>
        <v>730.41</v>
      </c>
      <c r="G102" s="374">
        <f t="shared" si="6"/>
        <v>384.24</v>
      </c>
      <c r="H102" s="374">
        <f t="shared" si="6"/>
        <v>324.31</v>
      </c>
      <c r="I102" s="374">
        <f t="shared" si="6"/>
        <v>275.03</v>
      </c>
      <c r="J102" s="374">
        <f t="shared" si="6"/>
        <v>231.83</v>
      </c>
      <c r="K102" s="374">
        <f t="shared" si="6"/>
        <v>273.25</v>
      </c>
      <c r="L102" s="374">
        <f t="shared" si="6"/>
        <v>245.77</v>
      </c>
      <c r="M102" s="374">
        <f t="shared" si="6"/>
        <v>451.06</v>
      </c>
      <c r="N102" s="374">
        <f t="shared" si="6"/>
        <v>552.02</v>
      </c>
      <c r="O102" s="410">
        <f t="shared" si="6"/>
        <v>729.65</v>
      </c>
      <c r="P102" s="593">
        <f t="shared" si="4"/>
        <v>5367.91</v>
      </c>
      <c r="Q102" s="594"/>
    </row>
    <row r="103" spans="1:17" ht="54" customHeight="1">
      <c r="A103" s="595"/>
      <c r="B103" s="595"/>
      <c r="C103" s="13" t="s">
        <v>44</v>
      </c>
      <c r="D103" s="375">
        <f>'таблица вспом'!C36</f>
        <v>223883</v>
      </c>
      <c r="E103" s="375">
        <f>'таблица вспом'!D36</f>
        <v>278195</v>
      </c>
      <c r="F103" s="375">
        <f>'таблица вспом'!E36</f>
        <v>313344</v>
      </c>
      <c r="G103" s="375">
        <f>'таблица вспом'!G36</f>
        <v>164838</v>
      </c>
      <c r="H103" s="375">
        <f>'таблица вспом'!H36</f>
        <v>139130</v>
      </c>
      <c r="I103" s="375">
        <f>'таблица вспом'!I36</f>
        <v>117989</v>
      </c>
      <c r="J103" s="375">
        <f>'таблица вспом'!K36</f>
        <v>99456</v>
      </c>
      <c r="K103" s="375">
        <f>'таблица вспом'!L36</f>
        <v>117223</v>
      </c>
      <c r="L103" s="375">
        <f>'таблица вспом'!M36</f>
        <v>107892</v>
      </c>
      <c r="M103" s="375">
        <f>'таблица вспом'!O36</f>
        <v>198014</v>
      </c>
      <c r="N103" s="375">
        <f>'таблица вспом'!P36</f>
        <v>242338</v>
      </c>
      <c r="O103" s="411">
        <f>'таблица вспом'!Q36</f>
        <v>320316</v>
      </c>
      <c r="P103" s="593">
        <f t="shared" si="4"/>
        <v>2322618</v>
      </c>
      <c r="Q103" s="594"/>
    </row>
    <row r="104" spans="1:17" ht="40.5" customHeight="1" hidden="1">
      <c r="A104" s="595" t="s">
        <v>86</v>
      </c>
      <c r="B104" s="595"/>
      <c r="C104" s="14" t="s">
        <v>43</v>
      </c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410"/>
      <c r="P104" s="593">
        <f t="shared" si="4"/>
        <v>0</v>
      </c>
      <c r="Q104" s="594"/>
    </row>
    <row r="105" spans="1:17" ht="52.5" customHeight="1" hidden="1">
      <c r="A105" s="595"/>
      <c r="B105" s="595"/>
      <c r="C105" s="14" t="s">
        <v>44</v>
      </c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410"/>
      <c r="P105" s="593">
        <f t="shared" si="4"/>
        <v>0</v>
      </c>
      <c r="Q105" s="594"/>
    </row>
    <row r="106" spans="1:17" ht="52.5" customHeight="1">
      <c r="A106" s="595" t="s">
        <v>141</v>
      </c>
      <c r="B106" s="595"/>
      <c r="C106" s="13" t="s">
        <v>43</v>
      </c>
      <c r="D106" s="374">
        <f aca="true" t="shared" si="7" ref="D106:O106">ROUND(D107/D67,2)</f>
        <v>339.62</v>
      </c>
      <c r="E106" s="374">
        <f t="shared" si="7"/>
        <v>1105.46</v>
      </c>
      <c r="F106" s="374">
        <f t="shared" si="7"/>
        <v>1105.46</v>
      </c>
      <c r="G106" s="374">
        <f t="shared" si="7"/>
        <v>1852.2</v>
      </c>
      <c r="H106" s="374">
        <f t="shared" si="7"/>
        <v>1910.42</v>
      </c>
      <c r="I106" s="374">
        <f t="shared" si="7"/>
        <v>2132.13</v>
      </c>
      <c r="J106" s="374">
        <f t="shared" si="7"/>
        <v>758.75</v>
      </c>
      <c r="K106" s="374">
        <f t="shared" si="7"/>
        <v>246.66</v>
      </c>
      <c r="L106" s="374">
        <f t="shared" si="7"/>
        <v>1184.27</v>
      </c>
      <c r="M106" s="374">
        <f t="shared" si="7"/>
        <v>1696.9</v>
      </c>
      <c r="N106" s="374">
        <f t="shared" si="7"/>
        <v>495.57</v>
      </c>
      <c r="O106" s="410">
        <f t="shared" si="7"/>
        <v>440.47</v>
      </c>
      <c r="P106" s="593">
        <f>SUM(D106:O106)</f>
        <v>13267.91</v>
      </c>
      <c r="Q106" s="594"/>
    </row>
    <row r="107" spans="1:17" ht="52.5" customHeight="1">
      <c r="A107" s="595"/>
      <c r="B107" s="595"/>
      <c r="C107" s="13" t="s">
        <v>44</v>
      </c>
      <c r="D107" s="375">
        <f>'таблица вспом'!C35</f>
        <v>145695.72999999998</v>
      </c>
      <c r="E107" s="375">
        <f>'таблица вспом'!D35</f>
        <v>474241.31999999995</v>
      </c>
      <c r="F107" s="375">
        <f>'таблица вспом'!E35</f>
        <v>474240.31999999995</v>
      </c>
      <c r="G107" s="375">
        <f>'таблица вспом'!G35</f>
        <v>794594.9099999999</v>
      </c>
      <c r="H107" s="375">
        <f>'таблица вспом'!H35</f>
        <v>819569.39</v>
      </c>
      <c r="I107" s="375">
        <f>'таблица вспом'!I35</f>
        <v>914682.98</v>
      </c>
      <c r="J107" s="375">
        <f>'таблица вспом'!K35</f>
        <v>325504.73</v>
      </c>
      <c r="K107" s="375">
        <f>'таблица вспом'!L35</f>
        <v>105816.59000000003</v>
      </c>
      <c r="L107" s="375">
        <f>'таблица вспом'!M35</f>
        <v>519893.65</v>
      </c>
      <c r="M107" s="375">
        <f>'таблица вспом'!O35</f>
        <v>744940.24</v>
      </c>
      <c r="N107" s="375">
        <f>'таблица вспом'!P35</f>
        <v>217553.06</v>
      </c>
      <c r="O107" s="411">
        <f>'таблица вспом'!Q35</f>
        <v>193367.08000000007</v>
      </c>
      <c r="P107" s="593">
        <f>SUM(D107:O107)</f>
        <v>5730100</v>
      </c>
      <c r="Q107" s="594"/>
    </row>
    <row r="108" spans="1:17" ht="77.25" customHeight="1" thickBot="1">
      <c r="A108" s="595" t="s">
        <v>45</v>
      </c>
      <c r="B108" s="595"/>
      <c r="C108" s="14" t="s">
        <v>46</v>
      </c>
      <c r="D108" s="374">
        <f>D105+D103+D99+D107+D101</f>
        <v>673579</v>
      </c>
      <c r="E108" s="374">
        <f aca="true" t="shared" si="8" ref="E108:O108">E105+E103+E99+E107+E101</f>
        <v>1741957</v>
      </c>
      <c r="F108" s="374">
        <f t="shared" si="8"/>
        <v>1782446</v>
      </c>
      <c r="G108" s="374">
        <f t="shared" si="8"/>
        <v>2711832</v>
      </c>
      <c r="H108" s="374">
        <f t="shared" si="8"/>
        <v>1749268</v>
      </c>
      <c r="I108" s="374">
        <f t="shared" si="8"/>
        <v>2622294</v>
      </c>
      <c r="J108" s="374">
        <f t="shared" si="8"/>
        <v>820769</v>
      </c>
      <c r="K108" s="374">
        <f t="shared" si="8"/>
        <v>556352</v>
      </c>
      <c r="L108" s="374">
        <f t="shared" si="8"/>
        <v>1160049</v>
      </c>
      <c r="M108" s="374">
        <f t="shared" si="8"/>
        <v>2739836</v>
      </c>
      <c r="N108" s="374">
        <f t="shared" si="8"/>
        <v>772494</v>
      </c>
      <c r="O108" s="410">
        <f t="shared" si="8"/>
        <v>2862129</v>
      </c>
      <c r="P108" s="596">
        <f>SUM(D108:O108)</f>
        <v>20193005</v>
      </c>
      <c r="Q108" s="597"/>
    </row>
    <row r="109" ht="15.75" thickBot="1"/>
    <row r="110" spans="1:2" ht="21" customHeight="1">
      <c r="A110" s="11" t="s">
        <v>64</v>
      </c>
      <c r="B110" s="12" t="s">
        <v>150</v>
      </c>
    </row>
    <row r="113" spans="1:18" ht="29.25" customHeight="1">
      <c r="A113" s="499" t="s">
        <v>40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</row>
    <row r="116" ht="15">
      <c r="B116" s="1" t="s">
        <v>47</v>
      </c>
    </row>
    <row r="118" spans="1:17" ht="15" customHeight="1">
      <c r="A118" s="532" t="s">
        <v>35</v>
      </c>
      <c r="B118" s="532"/>
      <c r="C118" s="532"/>
      <c r="D118" s="507" t="s">
        <v>65</v>
      </c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9"/>
      <c r="P118" s="578" t="s">
        <v>39</v>
      </c>
      <c r="Q118" s="590"/>
    </row>
    <row r="119" spans="1:17" ht="15.75" thickBot="1">
      <c r="A119" s="532"/>
      <c r="B119" s="532"/>
      <c r="C119" s="532"/>
      <c r="D119" s="9">
        <v>1</v>
      </c>
      <c r="E119" s="9">
        <v>2</v>
      </c>
      <c r="F119" s="9">
        <v>3</v>
      </c>
      <c r="G119" s="9">
        <v>4</v>
      </c>
      <c r="H119" s="9">
        <v>5</v>
      </c>
      <c r="I119" s="9">
        <v>6</v>
      </c>
      <c r="J119" s="9">
        <v>7</v>
      </c>
      <c r="K119" s="9">
        <v>8</v>
      </c>
      <c r="L119" s="9">
        <v>9</v>
      </c>
      <c r="M119" s="9">
        <v>10</v>
      </c>
      <c r="N119" s="9">
        <v>11</v>
      </c>
      <c r="O119" s="9">
        <v>12</v>
      </c>
      <c r="P119" s="591"/>
      <c r="Q119" s="592"/>
    </row>
    <row r="120" spans="1:17" ht="94.5" customHeight="1">
      <c r="A120" s="464" t="s">
        <v>111</v>
      </c>
      <c r="B120" s="464"/>
      <c r="C120" s="465"/>
      <c r="D120" s="376">
        <f>D121</f>
        <v>190606</v>
      </c>
      <c r="E120" s="376">
        <f aca="true" t="shared" si="9" ref="E120:O120">E121</f>
        <v>0</v>
      </c>
      <c r="F120" s="376">
        <f t="shared" si="9"/>
        <v>31884</v>
      </c>
      <c r="G120" s="376">
        <f t="shared" si="9"/>
        <v>222490</v>
      </c>
      <c r="H120" s="376">
        <f t="shared" si="9"/>
        <v>0</v>
      </c>
      <c r="I120" s="376">
        <f t="shared" si="9"/>
        <v>0</v>
      </c>
      <c r="J120" s="376">
        <f t="shared" si="9"/>
        <v>235090</v>
      </c>
      <c r="K120" s="376">
        <f t="shared" si="9"/>
        <v>0</v>
      </c>
      <c r="L120" s="376">
        <f t="shared" si="9"/>
        <v>0</v>
      </c>
      <c r="M120" s="376">
        <f t="shared" si="9"/>
        <v>222490</v>
      </c>
      <c r="N120" s="376">
        <f t="shared" si="9"/>
        <v>0</v>
      </c>
      <c r="O120" s="396">
        <f t="shared" si="9"/>
        <v>0</v>
      </c>
      <c r="P120" s="584">
        <f>SUM(D120:O120)</f>
        <v>902560</v>
      </c>
      <c r="Q120" s="585"/>
    </row>
    <row r="121" spans="1:17" ht="50.25" customHeight="1" thickBot="1">
      <c r="A121" s="553" t="s">
        <v>86</v>
      </c>
      <c r="B121" s="554"/>
      <c r="C121" s="555"/>
      <c r="D121" s="377">
        <f>'таблица вспом'!C39</f>
        <v>190606</v>
      </c>
      <c r="E121" s="377">
        <f>'таблица вспом'!D39</f>
        <v>0</v>
      </c>
      <c r="F121" s="377">
        <f>'таблица вспом'!E39</f>
        <v>31884</v>
      </c>
      <c r="G121" s="377">
        <f>'таблица вспом'!G39</f>
        <v>222490</v>
      </c>
      <c r="H121" s="377">
        <f>'таблица вспом'!H39</f>
        <v>0</v>
      </c>
      <c r="I121" s="377">
        <f>'таблица вспом'!I39</f>
        <v>0</v>
      </c>
      <c r="J121" s="377">
        <f>'таблица вспом'!K39</f>
        <v>235090</v>
      </c>
      <c r="K121" s="377">
        <f>'таблица вспом'!L39</f>
        <v>0</v>
      </c>
      <c r="L121" s="377">
        <f>'таблица вспом'!M39</f>
        <v>0</v>
      </c>
      <c r="M121" s="377">
        <f>'таблица вспом'!O39</f>
        <v>222490</v>
      </c>
      <c r="N121" s="377">
        <f>'таблица вспом'!P39</f>
        <v>0</v>
      </c>
      <c r="O121" s="397">
        <f>'таблица вспом'!Q39</f>
        <v>0</v>
      </c>
      <c r="P121" s="568">
        <f>SUM(D121:O121)</f>
        <v>902560</v>
      </c>
      <c r="Q121" s="569"/>
    </row>
    <row r="122" ht="15.75" thickBot="1"/>
    <row r="123" spans="1:2" ht="15">
      <c r="A123" s="11" t="s">
        <v>64</v>
      </c>
      <c r="B123" s="12" t="s">
        <v>150</v>
      </c>
    </row>
    <row r="125" spans="1:18" ht="33" customHeight="1">
      <c r="A125" s="499" t="s">
        <v>40</v>
      </c>
      <c r="B125" s="499"/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</row>
    <row r="128" ht="15">
      <c r="B128" s="1" t="s">
        <v>48</v>
      </c>
    </row>
    <row r="129" ht="15.75" thickBot="1"/>
    <row r="130" spans="1:17" ht="15" customHeight="1" thickBot="1">
      <c r="A130" s="532" t="s">
        <v>49</v>
      </c>
      <c r="B130" s="532"/>
      <c r="C130" s="532"/>
      <c r="D130" s="578" t="s">
        <v>65</v>
      </c>
      <c r="E130" s="579"/>
      <c r="F130" s="579"/>
      <c r="G130" s="579"/>
      <c r="H130" s="579"/>
      <c r="I130" s="579"/>
      <c r="J130" s="579"/>
      <c r="K130" s="579"/>
      <c r="L130" s="579"/>
      <c r="M130" s="579"/>
      <c r="N130" s="579"/>
      <c r="O130" s="579"/>
      <c r="P130" s="580" t="s">
        <v>39</v>
      </c>
      <c r="Q130" s="581"/>
    </row>
    <row r="131" spans="1:17" ht="15.75" thickBot="1">
      <c r="A131" s="532"/>
      <c r="B131" s="532"/>
      <c r="C131" s="507"/>
      <c r="D131" s="393">
        <v>1</v>
      </c>
      <c r="E131" s="394">
        <v>2</v>
      </c>
      <c r="F131" s="395">
        <v>3</v>
      </c>
      <c r="G131" s="393">
        <v>4</v>
      </c>
      <c r="H131" s="394">
        <v>5</v>
      </c>
      <c r="I131" s="395">
        <v>6</v>
      </c>
      <c r="J131" s="393">
        <v>7</v>
      </c>
      <c r="K131" s="394">
        <v>8</v>
      </c>
      <c r="L131" s="395">
        <v>9</v>
      </c>
      <c r="M131" s="393">
        <v>10</v>
      </c>
      <c r="N131" s="394">
        <v>11</v>
      </c>
      <c r="O131" s="395">
        <v>12</v>
      </c>
      <c r="P131" s="582"/>
      <c r="Q131" s="583"/>
    </row>
    <row r="132" spans="1:17" ht="102" customHeight="1" thickBot="1">
      <c r="A132" s="464" t="s">
        <v>111</v>
      </c>
      <c r="B132" s="464"/>
      <c r="C132" s="464"/>
      <c r="D132" s="398">
        <f>D135+D136+D137+D140+D141+D144+D133+D138+D143+D142+D139+D134+D145+D149+D151+D152+D153+D154+D155+D156+D157+D146</f>
        <v>7560</v>
      </c>
      <c r="E132" s="399">
        <f aca="true" t="shared" si="10" ref="E132:N132">E135+E136+E137+E140+E141+E144+E133+E138+E143+E142+E139+E134+E145+E149+E151+E152+E153+E154+E155+E156+E157+E146</f>
        <v>141525</v>
      </c>
      <c r="F132" s="400">
        <f t="shared" si="10"/>
        <v>141731.75</v>
      </c>
      <c r="G132" s="398">
        <f t="shared" si="10"/>
        <v>168088.75</v>
      </c>
      <c r="H132" s="399">
        <f t="shared" si="10"/>
        <v>152841</v>
      </c>
      <c r="I132" s="400">
        <f t="shared" si="10"/>
        <v>97650</v>
      </c>
      <c r="J132" s="398">
        <f t="shared" si="10"/>
        <v>34674.5</v>
      </c>
      <c r="K132" s="399">
        <f t="shared" si="10"/>
        <v>7560</v>
      </c>
      <c r="L132" s="400">
        <f>L135+L136+L137+L140+L141+L144+L133+L138+L143+L142+L139+L134+L145+L149+L151+L152+L153+L154+L155+L156+L157+L146</f>
        <v>176491</v>
      </c>
      <c r="M132" s="398">
        <f>M135+M136+M137+M140+M141+M144+M133+M138+M143+M142+M139+M134+M145+M149+M151+M152+M153+M154+M155+M156+M157+M146+M147</f>
        <v>237344</v>
      </c>
      <c r="N132" s="399">
        <f t="shared" si="10"/>
        <v>199550</v>
      </c>
      <c r="O132" s="400">
        <f>O135+O136+O137+O140+O141+O144+O133+O138+O143+O142+O139+O134+O145+O149+O151+O152+O153+O154+O155+O156+O157+O146</f>
        <v>2236537</v>
      </c>
      <c r="P132" s="574">
        <f>SUM(D132:O132)</f>
        <v>3601553</v>
      </c>
      <c r="Q132" s="575"/>
    </row>
    <row r="133" spans="1:17" ht="53.25" customHeight="1" hidden="1">
      <c r="A133" s="464" t="s">
        <v>133</v>
      </c>
      <c r="B133" s="464"/>
      <c r="C133" s="464"/>
      <c r="D133" s="401"/>
      <c r="E133" s="402"/>
      <c r="F133" s="419"/>
      <c r="G133" s="423"/>
      <c r="H133" s="424"/>
      <c r="I133" s="425"/>
      <c r="J133" s="401"/>
      <c r="K133" s="402"/>
      <c r="L133" s="403"/>
      <c r="M133" s="401"/>
      <c r="N133" s="402"/>
      <c r="O133" s="403"/>
      <c r="P133" s="576">
        <f>SUM(D133:O133)</f>
        <v>0</v>
      </c>
      <c r="Q133" s="577"/>
    </row>
    <row r="134" spans="1:17" ht="30" customHeight="1" hidden="1">
      <c r="A134" s="464" t="s">
        <v>177</v>
      </c>
      <c r="B134" s="464"/>
      <c r="C134" s="464"/>
      <c r="D134" s="404"/>
      <c r="E134" s="405"/>
      <c r="F134" s="420"/>
      <c r="G134" s="404"/>
      <c r="H134" s="405"/>
      <c r="I134" s="406"/>
      <c r="J134" s="404"/>
      <c r="K134" s="405"/>
      <c r="L134" s="406"/>
      <c r="M134" s="404"/>
      <c r="N134" s="405"/>
      <c r="O134" s="406"/>
      <c r="P134" s="560">
        <f>SUM(D134:O134)</f>
        <v>0</v>
      </c>
      <c r="Q134" s="561"/>
    </row>
    <row r="135" spans="1:17" ht="38.25" customHeight="1" hidden="1">
      <c r="A135" s="526" t="s">
        <v>87</v>
      </c>
      <c r="B135" s="559"/>
      <c r="C135" s="559"/>
      <c r="D135" s="404"/>
      <c r="E135" s="405"/>
      <c r="F135" s="420"/>
      <c r="G135" s="404"/>
      <c r="H135" s="405"/>
      <c r="I135" s="406"/>
      <c r="J135" s="404"/>
      <c r="K135" s="405"/>
      <c r="L135" s="406"/>
      <c r="M135" s="404"/>
      <c r="N135" s="405"/>
      <c r="O135" s="406"/>
      <c r="P135" s="560">
        <f aca="true" t="shared" si="11" ref="P135:P141">SUM(D135:O135)</f>
        <v>0</v>
      </c>
      <c r="Q135" s="561"/>
    </row>
    <row r="136" spans="1:17" ht="20.25" customHeight="1" hidden="1">
      <c r="A136" s="526" t="s">
        <v>88</v>
      </c>
      <c r="B136" s="559"/>
      <c r="C136" s="559"/>
      <c r="D136" s="404"/>
      <c r="E136" s="405"/>
      <c r="F136" s="420"/>
      <c r="G136" s="404"/>
      <c r="H136" s="405"/>
      <c r="I136" s="406"/>
      <c r="J136" s="404"/>
      <c r="K136" s="405"/>
      <c r="L136" s="406"/>
      <c r="M136" s="404"/>
      <c r="N136" s="405"/>
      <c r="O136" s="406"/>
      <c r="P136" s="560">
        <f t="shared" si="11"/>
        <v>0</v>
      </c>
      <c r="Q136" s="561"/>
    </row>
    <row r="137" spans="1:17" ht="141" customHeight="1">
      <c r="A137" s="572" t="s">
        <v>487</v>
      </c>
      <c r="B137" s="573"/>
      <c r="C137" s="573"/>
      <c r="D137" s="404"/>
      <c r="E137" s="405"/>
      <c r="F137" s="420"/>
      <c r="G137" s="404"/>
      <c r="H137" s="405"/>
      <c r="I137" s="406"/>
      <c r="J137" s="404"/>
      <c r="K137" s="405"/>
      <c r="L137" s="406"/>
      <c r="M137" s="404"/>
      <c r="N137" s="405"/>
      <c r="O137" s="406">
        <v>2023640</v>
      </c>
      <c r="P137" s="560">
        <f t="shared" si="11"/>
        <v>2023640</v>
      </c>
      <c r="Q137" s="561"/>
    </row>
    <row r="138" spans="1:17" ht="73.5" customHeight="1" hidden="1">
      <c r="A138" s="463" t="s">
        <v>145</v>
      </c>
      <c r="B138" s="464"/>
      <c r="C138" s="464"/>
      <c r="D138" s="404"/>
      <c r="E138" s="405"/>
      <c r="F138" s="420"/>
      <c r="G138" s="404"/>
      <c r="H138" s="405"/>
      <c r="I138" s="406"/>
      <c r="J138" s="404"/>
      <c r="K138" s="405"/>
      <c r="L138" s="406"/>
      <c r="M138" s="404"/>
      <c r="N138" s="405"/>
      <c r="O138" s="406"/>
      <c r="P138" s="560">
        <f>SUM(D138:O138)</f>
        <v>0</v>
      </c>
      <c r="Q138" s="561"/>
    </row>
    <row r="139" spans="1:17" ht="11.25" customHeight="1" hidden="1">
      <c r="A139" s="486" t="s">
        <v>134</v>
      </c>
      <c r="B139" s="464"/>
      <c r="C139" s="464"/>
      <c r="D139" s="404"/>
      <c r="E139" s="405"/>
      <c r="F139" s="420"/>
      <c r="G139" s="404"/>
      <c r="H139" s="405"/>
      <c r="I139" s="406"/>
      <c r="J139" s="404"/>
      <c r="K139" s="405"/>
      <c r="L139" s="406"/>
      <c r="M139" s="404"/>
      <c r="N139" s="405"/>
      <c r="O139" s="406"/>
      <c r="P139" s="560">
        <f>SUM(D139:O139)</f>
        <v>0</v>
      </c>
      <c r="Q139" s="561"/>
    </row>
    <row r="140" spans="1:17" ht="40.5" customHeight="1" hidden="1">
      <c r="A140" s="526" t="s">
        <v>89</v>
      </c>
      <c r="B140" s="559"/>
      <c r="C140" s="559"/>
      <c r="D140" s="404"/>
      <c r="E140" s="405"/>
      <c r="F140" s="420"/>
      <c r="G140" s="404"/>
      <c r="H140" s="405"/>
      <c r="I140" s="406"/>
      <c r="J140" s="404"/>
      <c r="K140" s="405"/>
      <c r="L140" s="406"/>
      <c r="M140" s="404"/>
      <c r="N140" s="405"/>
      <c r="O140" s="406"/>
      <c r="P140" s="560">
        <f t="shared" si="11"/>
        <v>0</v>
      </c>
      <c r="Q140" s="561"/>
    </row>
    <row r="141" spans="1:17" ht="14.25" customHeight="1" hidden="1">
      <c r="A141" s="526" t="s">
        <v>90</v>
      </c>
      <c r="B141" s="559"/>
      <c r="C141" s="559"/>
      <c r="D141" s="404"/>
      <c r="E141" s="405"/>
      <c r="F141" s="420"/>
      <c r="G141" s="404"/>
      <c r="H141" s="405"/>
      <c r="I141" s="406"/>
      <c r="J141" s="404"/>
      <c r="K141" s="405"/>
      <c r="L141" s="406"/>
      <c r="M141" s="404"/>
      <c r="N141" s="405"/>
      <c r="O141" s="406"/>
      <c r="P141" s="560">
        <f t="shared" si="11"/>
        <v>0</v>
      </c>
      <c r="Q141" s="561"/>
    </row>
    <row r="142" spans="1:17" ht="48.75" customHeight="1" hidden="1">
      <c r="A142" s="486" t="s">
        <v>135</v>
      </c>
      <c r="B142" s="464"/>
      <c r="C142" s="464"/>
      <c r="D142" s="404"/>
      <c r="E142" s="405"/>
      <c r="F142" s="420"/>
      <c r="G142" s="404"/>
      <c r="H142" s="405"/>
      <c r="I142" s="406"/>
      <c r="J142" s="404"/>
      <c r="K142" s="405"/>
      <c r="L142" s="406"/>
      <c r="M142" s="404"/>
      <c r="N142" s="405"/>
      <c r="O142" s="406"/>
      <c r="P142" s="560">
        <f aca="true" t="shared" si="12" ref="P142:P147">SUM(D142:O142)</f>
        <v>0</v>
      </c>
      <c r="Q142" s="561"/>
    </row>
    <row r="143" spans="1:17" ht="133.5" customHeight="1">
      <c r="A143" s="463" t="s">
        <v>458</v>
      </c>
      <c r="B143" s="464"/>
      <c r="C143" s="464"/>
      <c r="D143" s="415">
        <v>0</v>
      </c>
      <c r="E143" s="418">
        <v>133965</v>
      </c>
      <c r="F143" s="421">
        <v>134171.75</v>
      </c>
      <c r="G143" s="415">
        <v>160528.75</v>
      </c>
      <c r="H143" s="418">
        <v>145281</v>
      </c>
      <c r="I143" s="417">
        <v>90090</v>
      </c>
      <c r="J143" s="415">
        <v>27114.5</v>
      </c>
      <c r="K143" s="416">
        <v>0</v>
      </c>
      <c r="L143" s="417">
        <v>172564</v>
      </c>
      <c r="M143" s="415">
        <v>237344</v>
      </c>
      <c r="N143" s="416">
        <v>199550</v>
      </c>
      <c r="O143" s="417">
        <v>212897</v>
      </c>
      <c r="P143" s="560">
        <f t="shared" si="12"/>
        <v>1513506</v>
      </c>
      <c r="Q143" s="561"/>
    </row>
    <row r="144" spans="1:17" ht="153.75" customHeight="1">
      <c r="A144" s="548" t="s">
        <v>459</v>
      </c>
      <c r="B144" s="549"/>
      <c r="C144" s="549"/>
      <c r="D144" s="404">
        <v>7560</v>
      </c>
      <c r="E144" s="405">
        <v>7560</v>
      </c>
      <c r="F144" s="420">
        <v>7560</v>
      </c>
      <c r="G144" s="404">
        <v>7560</v>
      </c>
      <c r="H144" s="405">
        <v>7560</v>
      </c>
      <c r="I144" s="406">
        <v>7560</v>
      </c>
      <c r="J144" s="404">
        <v>7560</v>
      </c>
      <c r="K144" s="405">
        <v>7560</v>
      </c>
      <c r="L144" s="406">
        <v>3927</v>
      </c>
      <c r="M144" s="404"/>
      <c r="N144" s="405"/>
      <c r="O144" s="406"/>
      <c r="P144" s="560">
        <f t="shared" si="12"/>
        <v>64407</v>
      </c>
      <c r="Q144" s="561"/>
    </row>
    <row r="145" spans="1:17" ht="42.75" customHeight="1" hidden="1">
      <c r="A145" s="548" t="s">
        <v>180</v>
      </c>
      <c r="B145" s="549"/>
      <c r="C145" s="549"/>
      <c r="D145" s="404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560">
        <f t="shared" si="12"/>
        <v>0</v>
      </c>
      <c r="Q145" s="561"/>
    </row>
    <row r="146" spans="1:17" ht="66.75" customHeight="1" hidden="1">
      <c r="A146" s="548" t="s">
        <v>361</v>
      </c>
      <c r="B146" s="549"/>
      <c r="C146" s="549"/>
      <c r="D146" s="404"/>
      <c r="E146" s="405"/>
      <c r="F146" s="420"/>
      <c r="G146" s="404"/>
      <c r="H146" s="405"/>
      <c r="I146" s="406"/>
      <c r="J146" s="404"/>
      <c r="K146" s="405"/>
      <c r="L146" s="406"/>
      <c r="M146" s="404"/>
      <c r="N146" s="405"/>
      <c r="O146" s="406"/>
      <c r="P146" s="560">
        <f t="shared" si="12"/>
        <v>0</v>
      </c>
      <c r="Q146" s="561"/>
    </row>
    <row r="147" spans="1:18" ht="110.25" customHeight="1" hidden="1" thickBot="1">
      <c r="A147" s="548" t="s">
        <v>447</v>
      </c>
      <c r="B147" s="549"/>
      <c r="C147" s="549"/>
      <c r="D147" s="407"/>
      <c r="E147" s="408"/>
      <c r="F147" s="422"/>
      <c r="G147" s="407"/>
      <c r="H147" s="408"/>
      <c r="I147" s="409"/>
      <c r="J147" s="407"/>
      <c r="K147" s="408"/>
      <c r="L147" s="409"/>
      <c r="M147" s="407"/>
      <c r="N147" s="408"/>
      <c r="O147" s="409"/>
      <c r="P147" s="568">
        <f t="shared" si="12"/>
        <v>0</v>
      </c>
      <c r="Q147" s="569"/>
      <c r="R147" s="381" t="s">
        <v>0</v>
      </c>
    </row>
    <row r="148" spans="1:17" ht="27" customHeight="1" hidden="1" thickBot="1">
      <c r="A148" s="541" t="s">
        <v>355</v>
      </c>
      <c r="B148" s="542"/>
      <c r="C148" s="542"/>
      <c r="D148" s="543"/>
      <c r="E148" s="543"/>
      <c r="F148" s="543"/>
      <c r="G148" s="543"/>
      <c r="H148" s="543"/>
      <c r="I148" s="543"/>
      <c r="J148" s="543"/>
      <c r="K148" s="543"/>
      <c r="L148" s="543"/>
      <c r="M148" s="543"/>
      <c r="N148" s="543"/>
      <c r="O148" s="543"/>
      <c r="P148" s="544"/>
      <c r="Q148" s="545"/>
    </row>
    <row r="149" spans="1:18" ht="79.5" customHeight="1" hidden="1" thickBot="1">
      <c r="A149" s="550" t="s">
        <v>354</v>
      </c>
      <c r="B149" s="551"/>
      <c r="C149" s="552"/>
      <c r="D149" s="8"/>
      <c r="E149" s="8"/>
      <c r="F149" s="35"/>
      <c r="G149" s="8"/>
      <c r="H149" s="8"/>
      <c r="I149" s="8"/>
      <c r="J149" s="8"/>
      <c r="K149" s="8"/>
      <c r="L149" s="8"/>
      <c r="M149" s="8"/>
      <c r="N149" s="8"/>
      <c r="O149" s="379"/>
      <c r="P149" s="564">
        <f>SUM(D149:O149)</f>
        <v>0</v>
      </c>
      <c r="Q149" s="565"/>
      <c r="R149" s="381" t="s">
        <v>1</v>
      </c>
    </row>
    <row r="150" spans="1:17" ht="31.5" customHeight="1" hidden="1" thickBot="1">
      <c r="A150" s="541" t="s">
        <v>356</v>
      </c>
      <c r="B150" s="542"/>
      <c r="C150" s="542"/>
      <c r="D150" s="542"/>
      <c r="E150" s="542"/>
      <c r="F150" s="542"/>
      <c r="G150" s="542"/>
      <c r="H150" s="542"/>
      <c r="I150" s="542"/>
      <c r="J150" s="542"/>
      <c r="K150" s="542"/>
      <c r="L150" s="542"/>
      <c r="M150" s="542"/>
      <c r="N150" s="542"/>
      <c r="O150" s="542"/>
      <c r="P150" s="544"/>
      <c r="Q150" s="545"/>
    </row>
    <row r="151" spans="1:18" ht="88.5" customHeight="1" hidden="1">
      <c r="A151" s="550" t="s">
        <v>357</v>
      </c>
      <c r="B151" s="551"/>
      <c r="C151" s="552"/>
      <c r="D151" s="8"/>
      <c r="E151" s="8"/>
      <c r="F151" s="35"/>
      <c r="G151" s="8"/>
      <c r="H151" s="8"/>
      <c r="I151" s="8"/>
      <c r="J151" s="8"/>
      <c r="K151" s="8"/>
      <c r="L151" s="8"/>
      <c r="M151" s="35"/>
      <c r="N151" s="8"/>
      <c r="O151" s="379"/>
      <c r="P151" s="566">
        <f>SUM(D151:O151)</f>
        <v>0</v>
      </c>
      <c r="Q151" s="567"/>
      <c r="R151" s="381" t="s">
        <v>2</v>
      </c>
    </row>
    <row r="152" spans="1:17" ht="36.75" customHeight="1" hidden="1">
      <c r="A152" s="550" t="s">
        <v>358</v>
      </c>
      <c r="B152" s="551"/>
      <c r="C152" s="552"/>
      <c r="D152" s="8"/>
      <c r="E152" s="8"/>
      <c r="F152" s="35"/>
      <c r="G152" s="8"/>
      <c r="H152" s="8"/>
      <c r="I152" s="8"/>
      <c r="J152" s="8"/>
      <c r="K152" s="8"/>
      <c r="L152" s="8"/>
      <c r="M152" s="8"/>
      <c r="N152" s="8"/>
      <c r="O152" s="379"/>
      <c r="P152" s="539">
        <f>SUM(D152:O152)</f>
        <v>0</v>
      </c>
      <c r="Q152" s="540"/>
    </row>
    <row r="153" spans="1:17" ht="15" hidden="1">
      <c r="A153" s="550" t="s">
        <v>359</v>
      </c>
      <c r="B153" s="551"/>
      <c r="C153" s="552"/>
      <c r="D153" s="8"/>
      <c r="E153" s="8"/>
      <c r="F153" s="35"/>
      <c r="G153" s="8"/>
      <c r="H153" s="8"/>
      <c r="I153" s="8"/>
      <c r="J153" s="8"/>
      <c r="K153" s="8"/>
      <c r="L153" s="8"/>
      <c r="M153" s="8"/>
      <c r="N153" s="8"/>
      <c r="O153" s="379"/>
      <c r="P153" s="539">
        <f>SUM(D153:O153)</f>
        <v>0</v>
      </c>
      <c r="Q153" s="540"/>
    </row>
    <row r="154" spans="1:17" ht="90" customHeight="1" hidden="1">
      <c r="A154" s="550" t="s">
        <v>360</v>
      </c>
      <c r="B154" s="551"/>
      <c r="C154" s="552"/>
      <c r="D154" s="8"/>
      <c r="E154" s="8"/>
      <c r="F154" s="35"/>
      <c r="G154" s="8"/>
      <c r="H154" s="8"/>
      <c r="I154" s="8"/>
      <c r="J154" s="8"/>
      <c r="K154" s="8"/>
      <c r="L154" s="8"/>
      <c r="M154" s="8"/>
      <c r="N154" s="8"/>
      <c r="O154" s="379"/>
      <c r="P154" s="539">
        <f>SUM(D154:O154)</f>
        <v>0</v>
      </c>
      <c r="Q154" s="540"/>
    </row>
    <row r="155" spans="1:17" ht="79.5" customHeight="1" hidden="1">
      <c r="A155" s="550"/>
      <c r="B155" s="551"/>
      <c r="C155" s="552"/>
      <c r="D155" s="8"/>
      <c r="E155" s="8"/>
      <c r="F155" s="35"/>
      <c r="G155" s="8"/>
      <c r="H155" s="8"/>
      <c r="I155" s="8"/>
      <c r="J155" s="8"/>
      <c r="K155" s="8"/>
      <c r="L155" s="8"/>
      <c r="M155" s="8"/>
      <c r="N155" s="8"/>
      <c r="O155" s="379"/>
      <c r="P155" s="539">
        <f>SUM(D155:O155)</f>
        <v>0</v>
      </c>
      <c r="Q155" s="540"/>
    </row>
    <row r="156" spans="1:17" ht="15" hidden="1">
      <c r="A156" s="553" t="s">
        <v>36</v>
      </c>
      <c r="B156" s="554"/>
      <c r="C156" s="55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379"/>
      <c r="P156" s="562"/>
      <c r="Q156" s="563"/>
    </row>
    <row r="157" spans="1:17" ht="28.5" customHeight="1" hidden="1" thickBot="1">
      <c r="A157" s="553" t="s">
        <v>50</v>
      </c>
      <c r="B157" s="554"/>
      <c r="C157" s="55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379"/>
      <c r="P157" s="570"/>
      <c r="Q157" s="571"/>
    </row>
    <row r="158" ht="15.75" thickBot="1"/>
    <row r="159" spans="1:2" ht="15">
      <c r="A159" s="11" t="s">
        <v>64</v>
      </c>
      <c r="B159" s="12" t="s">
        <v>150</v>
      </c>
    </row>
    <row r="161" spans="1:18" ht="29.25" customHeight="1">
      <c r="A161" s="499" t="s">
        <v>40</v>
      </c>
      <c r="B161" s="499"/>
      <c r="C161" s="499"/>
      <c r="D161" s="499"/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</row>
    <row r="164" ht="15">
      <c r="B164" s="1" t="s">
        <v>51</v>
      </c>
    </row>
    <row r="166" ht="15">
      <c r="B166" s="1" t="s">
        <v>52</v>
      </c>
    </row>
    <row r="168" spans="1:18" ht="42.75" customHeight="1">
      <c r="A168" s="6" t="s">
        <v>53</v>
      </c>
      <c r="B168" s="532" t="s">
        <v>54</v>
      </c>
      <c r="C168" s="532"/>
      <c r="D168" s="507" t="s">
        <v>66</v>
      </c>
      <c r="E168" s="508"/>
      <c r="F168" s="532" t="s">
        <v>55</v>
      </c>
      <c r="G168" s="532"/>
      <c r="H168" s="532"/>
      <c r="I168" s="532"/>
      <c r="J168" s="532"/>
      <c r="K168" s="532"/>
      <c r="L168" s="532"/>
      <c r="M168" s="532"/>
      <c r="N168" s="508" t="s">
        <v>56</v>
      </c>
      <c r="O168" s="508"/>
      <c r="P168" s="508"/>
      <c r="Q168" s="508"/>
      <c r="R168" s="509"/>
    </row>
    <row r="169" spans="1:18" ht="27.75" customHeight="1">
      <c r="A169" s="556" t="s">
        <v>57</v>
      </c>
      <c r="B169" s="557"/>
      <c r="C169" s="557"/>
      <c r="D169" s="557"/>
      <c r="E169" s="558"/>
      <c r="F169" s="546" t="s">
        <v>58</v>
      </c>
      <c r="G169" s="547"/>
      <c r="H169" s="546" t="s">
        <v>59</v>
      </c>
      <c r="I169" s="547"/>
      <c r="J169" s="546" t="s">
        <v>60</v>
      </c>
      <c r="K169" s="547"/>
      <c r="L169" s="546" t="s">
        <v>61</v>
      </c>
      <c r="M169" s="547"/>
      <c r="N169" s="546" t="s">
        <v>58</v>
      </c>
      <c r="O169" s="547"/>
      <c r="P169" s="5" t="s">
        <v>59</v>
      </c>
      <c r="Q169" s="5" t="s">
        <v>60</v>
      </c>
      <c r="R169" s="388" t="s">
        <v>61</v>
      </c>
    </row>
    <row r="170" spans="1:18" ht="45.75" customHeight="1">
      <c r="A170" s="24">
        <v>1</v>
      </c>
      <c r="B170" s="537" t="s">
        <v>119</v>
      </c>
      <c r="C170" s="538"/>
      <c r="D170" s="532"/>
      <c r="E170" s="532"/>
      <c r="F170" s="533" t="s">
        <v>120</v>
      </c>
      <c r="G170" s="534"/>
      <c r="H170" s="535" t="s">
        <v>120</v>
      </c>
      <c r="I170" s="536"/>
      <c r="J170" s="535" t="s">
        <v>120</v>
      </c>
      <c r="K170" s="536"/>
      <c r="L170" s="535" t="s">
        <v>120</v>
      </c>
      <c r="M170" s="536"/>
      <c r="N170" s="508"/>
      <c r="O170" s="509"/>
      <c r="P170" s="5"/>
      <c r="Q170" s="5"/>
      <c r="R170" s="388"/>
    </row>
    <row r="171" spans="1:18" ht="48.75" customHeight="1">
      <c r="A171" s="4">
        <v>2</v>
      </c>
      <c r="B171" s="515" t="s">
        <v>123</v>
      </c>
      <c r="C171" s="515"/>
      <c r="D171" s="528"/>
      <c r="E171" s="529"/>
      <c r="F171" s="524" t="s">
        <v>124</v>
      </c>
      <c r="G171" s="525"/>
      <c r="H171" s="526" t="s">
        <v>124</v>
      </c>
      <c r="I171" s="527"/>
      <c r="J171" s="526" t="s">
        <v>124</v>
      </c>
      <c r="K171" s="527"/>
      <c r="L171" s="526" t="s">
        <v>124</v>
      </c>
      <c r="M171" s="527"/>
      <c r="N171" s="531"/>
      <c r="O171" s="531"/>
      <c r="P171" s="4"/>
      <c r="Q171" s="4"/>
      <c r="R171" s="389"/>
    </row>
    <row r="172" spans="1:18" ht="71.25" customHeight="1">
      <c r="A172" s="4">
        <v>3</v>
      </c>
      <c r="B172" s="515" t="s">
        <v>125</v>
      </c>
      <c r="C172" s="515"/>
      <c r="D172" s="518"/>
      <c r="E172" s="519"/>
      <c r="F172" s="520" t="s">
        <v>118</v>
      </c>
      <c r="G172" s="521"/>
      <c r="H172" s="522" t="s">
        <v>118</v>
      </c>
      <c r="I172" s="523"/>
      <c r="J172" s="522" t="s">
        <v>118</v>
      </c>
      <c r="K172" s="523"/>
      <c r="L172" s="522" t="s">
        <v>118</v>
      </c>
      <c r="M172" s="523"/>
      <c r="N172" s="530"/>
      <c r="O172" s="530"/>
      <c r="P172" s="15"/>
      <c r="Q172" s="15"/>
      <c r="R172" s="390"/>
    </row>
    <row r="173" spans="1:18" ht="48" customHeight="1">
      <c r="A173" s="3">
        <v>4</v>
      </c>
      <c r="B173" s="515" t="s">
        <v>126</v>
      </c>
      <c r="C173" s="515"/>
      <c r="D173" s="510"/>
      <c r="E173" s="510"/>
      <c r="F173" s="516" t="s">
        <v>118</v>
      </c>
      <c r="G173" s="516"/>
      <c r="H173" s="517" t="s">
        <v>118</v>
      </c>
      <c r="I173" s="517"/>
      <c r="J173" s="517" t="s">
        <v>118</v>
      </c>
      <c r="K173" s="517"/>
      <c r="L173" s="517" t="s">
        <v>118</v>
      </c>
      <c r="M173" s="517"/>
      <c r="N173" s="510"/>
      <c r="O173" s="510"/>
      <c r="P173" s="3"/>
      <c r="Q173" s="3"/>
      <c r="R173" s="390"/>
    </row>
    <row r="174" spans="1:18" ht="37.5" customHeight="1">
      <c r="A174" s="3">
        <v>5</v>
      </c>
      <c r="B174" s="515" t="s">
        <v>127</v>
      </c>
      <c r="C174" s="515"/>
      <c r="D174" s="511"/>
      <c r="E174" s="511"/>
      <c r="F174" s="514" t="s">
        <v>128</v>
      </c>
      <c r="G174" s="514"/>
      <c r="H174" s="511" t="s">
        <v>128</v>
      </c>
      <c r="I174" s="511"/>
      <c r="J174" s="511" t="s">
        <v>128</v>
      </c>
      <c r="K174" s="511"/>
      <c r="L174" s="511" t="s">
        <v>128</v>
      </c>
      <c r="M174" s="511"/>
      <c r="N174" s="511"/>
      <c r="O174" s="511"/>
      <c r="P174" s="3"/>
      <c r="Q174" s="3"/>
      <c r="R174" s="390"/>
    </row>
    <row r="175" spans="1:18" ht="50.25" customHeight="1">
      <c r="A175" s="3">
        <v>6</v>
      </c>
      <c r="B175" s="486" t="s">
        <v>129</v>
      </c>
      <c r="C175" s="465"/>
      <c r="D175" s="511"/>
      <c r="E175" s="511"/>
      <c r="F175" s="514" t="s">
        <v>130</v>
      </c>
      <c r="G175" s="514"/>
      <c r="H175" s="511" t="s">
        <v>130</v>
      </c>
      <c r="I175" s="511"/>
      <c r="J175" s="511" t="s">
        <v>130</v>
      </c>
      <c r="K175" s="511"/>
      <c r="L175" s="511" t="s">
        <v>130</v>
      </c>
      <c r="M175" s="511"/>
      <c r="N175" s="511"/>
      <c r="O175" s="511"/>
      <c r="P175" s="3"/>
      <c r="Q175" s="3"/>
      <c r="R175" s="390"/>
    </row>
    <row r="176" spans="1:18" ht="57.75" customHeight="1">
      <c r="A176" s="3">
        <v>7</v>
      </c>
      <c r="B176" s="486" t="s">
        <v>131</v>
      </c>
      <c r="C176" s="465"/>
      <c r="D176" s="511"/>
      <c r="E176" s="511"/>
      <c r="F176" s="512" t="s">
        <v>132</v>
      </c>
      <c r="G176" s="513"/>
      <c r="H176" s="512" t="s">
        <v>132</v>
      </c>
      <c r="I176" s="513"/>
      <c r="J176" s="512" t="s">
        <v>132</v>
      </c>
      <c r="K176" s="513"/>
      <c r="L176" s="512" t="s">
        <v>132</v>
      </c>
      <c r="M176" s="513"/>
      <c r="N176" s="511"/>
      <c r="O176" s="511"/>
      <c r="P176" s="3"/>
      <c r="Q176" s="3"/>
      <c r="R176" s="390"/>
    </row>
    <row r="178" spans="1:18" ht="30.75" customHeight="1">
      <c r="A178" s="499" t="s">
        <v>40</v>
      </c>
      <c r="B178" s="499"/>
      <c r="C178" s="499"/>
      <c r="D178" s="499"/>
      <c r="E178" s="499"/>
      <c r="F178" s="499"/>
      <c r="G178" s="499"/>
      <c r="H178" s="499"/>
      <c r="I178" s="499"/>
      <c r="J178" s="499"/>
      <c r="K178" s="499"/>
      <c r="L178" s="499"/>
      <c r="M178" s="499"/>
      <c r="N178" s="499"/>
      <c r="O178" s="499"/>
      <c r="P178" s="499"/>
      <c r="Q178" s="499"/>
      <c r="R178" s="499"/>
    </row>
    <row r="180" ht="15">
      <c r="B180" s="1" t="s">
        <v>62</v>
      </c>
    </row>
    <row r="182" spans="1:17" ht="26.25" customHeight="1">
      <c r="A182" s="6" t="s">
        <v>53</v>
      </c>
      <c r="B182" s="507" t="s">
        <v>54</v>
      </c>
      <c r="C182" s="508"/>
      <c r="D182" s="509"/>
      <c r="E182" s="507" t="s">
        <v>66</v>
      </c>
      <c r="F182" s="508"/>
      <c r="G182" s="508"/>
      <c r="H182" s="509"/>
      <c r="I182" s="510" t="s">
        <v>55</v>
      </c>
      <c r="J182" s="510"/>
      <c r="K182" s="510"/>
      <c r="L182" s="510"/>
      <c r="M182" s="510"/>
      <c r="N182" s="510" t="s">
        <v>56</v>
      </c>
      <c r="O182" s="510"/>
      <c r="P182" s="510"/>
      <c r="Q182" s="510"/>
    </row>
    <row r="183" spans="1:17" ht="36.75" customHeight="1">
      <c r="A183" s="3">
        <v>1</v>
      </c>
      <c r="B183" s="486" t="s">
        <v>113</v>
      </c>
      <c r="C183" s="464"/>
      <c r="D183" s="465"/>
      <c r="E183" s="477"/>
      <c r="F183" s="478"/>
      <c r="G183" s="478"/>
      <c r="H183" s="479"/>
      <c r="I183" s="496" t="s">
        <v>114</v>
      </c>
      <c r="J183" s="497"/>
      <c r="K183" s="497"/>
      <c r="L183" s="497"/>
      <c r="M183" s="498"/>
      <c r="N183" s="477"/>
      <c r="O183" s="478"/>
      <c r="P183" s="478"/>
      <c r="Q183" s="479"/>
    </row>
    <row r="184" spans="1:17" ht="36.75" customHeight="1">
      <c r="A184" s="3">
        <v>2</v>
      </c>
      <c r="B184" s="486" t="s">
        <v>115</v>
      </c>
      <c r="C184" s="464"/>
      <c r="D184" s="465"/>
      <c r="E184" s="477"/>
      <c r="F184" s="478"/>
      <c r="G184" s="478"/>
      <c r="H184" s="479"/>
      <c r="I184" s="496" t="s">
        <v>116</v>
      </c>
      <c r="J184" s="497"/>
      <c r="K184" s="497"/>
      <c r="L184" s="497"/>
      <c r="M184" s="498"/>
      <c r="N184" s="477"/>
      <c r="O184" s="478"/>
      <c r="P184" s="478"/>
      <c r="Q184" s="479"/>
    </row>
    <row r="185" spans="1:17" ht="24.75" customHeight="1">
      <c r="A185" s="3">
        <v>3</v>
      </c>
      <c r="B185" s="486" t="s">
        <v>117</v>
      </c>
      <c r="C185" s="464"/>
      <c r="D185" s="465"/>
      <c r="E185" s="477"/>
      <c r="F185" s="478"/>
      <c r="G185" s="478"/>
      <c r="H185" s="479"/>
      <c r="I185" s="496" t="s">
        <v>118</v>
      </c>
      <c r="J185" s="497"/>
      <c r="K185" s="497"/>
      <c r="L185" s="497"/>
      <c r="M185" s="498"/>
      <c r="N185" s="477"/>
      <c r="O185" s="478"/>
      <c r="P185" s="478"/>
      <c r="Q185" s="479"/>
    </row>
    <row r="186" spans="1:17" ht="60.75" customHeight="1">
      <c r="A186" s="3">
        <v>4</v>
      </c>
      <c r="B186" s="486" t="s">
        <v>121</v>
      </c>
      <c r="C186" s="464"/>
      <c r="D186" s="465"/>
      <c r="E186" s="477"/>
      <c r="F186" s="478"/>
      <c r="G186" s="478"/>
      <c r="H186" s="479"/>
      <c r="I186" s="496" t="s">
        <v>122</v>
      </c>
      <c r="J186" s="497"/>
      <c r="K186" s="497"/>
      <c r="L186" s="497"/>
      <c r="M186" s="498"/>
      <c r="N186" s="477"/>
      <c r="O186" s="478"/>
      <c r="P186" s="478"/>
      <c r="Q186" s="479"/>
    </row>
    <row r="187" ht="15.75" thickBot="1"/>
    <row r="188" spans="1:2" ht="15">
      <c r="A188" s="11" t="s">
        <v>67</v>
      </c>
      <c r="B188" s="12" t="s">
        <v>68</v>
      </c>
    </row>
    <row r="190" spans="1:18" ht="30.75" customHeight="1">
      <c r="A190" s="499" t="s">
        <v>40</v>
      </c>
      <c r="B190" s="499"/>
      <c r="C190" s="499"/>
      <c r="D190" s="499"/>
      <c r="E190" s="499"/>
      <c r="F190" s="499"/>
      <c r="G190" s="499"/>
      <c r="H190" s="499"/>
      <c r="I190" s="499"/>
      <c r="J190" s="499"/>
      <c r="K190" s="499"/>
      <c r="L190" s="499"/>
      <c r="M190" s="499"/>
      <c r="N190" s="499"/>
      <c r="O190" s="499"/>
      <c r="P190" s="499"/>
      <c r="Q190" s="499"/>
      <c r="R190" s="499"/>
    </row>
    <row r="192" ht="15">
      <c r="B192" s="1" t="s">
        <v>69</v>
      </c>
    </row>
    <row r="194" spans="1:17" ht="30" customHeight="1">
      <c r="A194" s="5" t="s">
        <v>53</v>
      </c>
      <c r="B194" s="500" t="s">
        <v>70</v>
      </c>
      <c r="C194" s="501"/>
      <c r="D194" s="502"/>
      <c r="E194" s="503" t="s">
        <v>71</v>
      </c>
      <c r="F194" s="504"/>
      <c r="G194" s="504"/>
      <c r="H194" s="505"/>
      <c r="I194" s="506" t="s">
        <v>72</v>
      </c>
      <c r="J194" s="506"/>
      <c r="K194" s="506"/>
      <c r="L194" s="506"/>
      <c r="M194" s="506"/>
      <c r="N194" s="506" t="s">
        <v>73</v>
      </c>
      <c r="O194" s="506"/>
      <c r="P194" s="506"/>
      <c r="Q194" s="506"/>
    </row>
    <row r="195" spans="1:17" ht="70.5" customHeight="1">
      <c r="A195" s="3">
        <v>1</v>
      </c>
      <c r="B195" s="486" t="s">
        <v>112</v>
      </c>
      <c r="C195" s="464"/>
      <c r="D195" s="465"/>
      <c r="E195" s="487">
        <v>2014</v>
      </c>
      <c r="F195" s="488"/>
      <c r="G195" s="488"/>
      <c r="H195" s="489"/>
      <c r="I195" s="490">
        <f>P85+P132</f>
        <v>24697118</v>
      </c>
      <c r="J195" s="491"/>
      <c r="K195" s="491"/>
      <c r="L195" s="491"/>
      <c r="M195" s="492"/>
      <c r="N195" s="493">
        <f>P67</f>
        <v>432</v>
      </c>
      <c r="O195" s="494"/>
      <c r="P195" s="494"/>
      <c r="Q195" s="495"/>
    </row>
    <row r="196" spans="1:17" ht="15" customHeight="1" hidden="1">
      <c r="A196" s="3"/>
      <c r="B196" s="477"/>
      <c r="C196" s="478"/>
      <c r="D196" s="479"/>
      <c r="E196" s="477"/>
      <c r="F196" s="478"/>
      <c r="G196" s="478"/>
      <c r="H196" s="479"/>
      <c r="I196" s="477"/>
      <c r="J196" s="478"/>
      <c r="K196" s="478"/>
      <c r="L196" s="478"/>
      <c r="M196" s="479"/>
      <c r="N196" s="477"/>
      <c r="O196" s="478"/>
      <c r="P196" s="478"/>
      <c r="Q196" s="479"/>
    </row>
    <row r="197" spans="1:17" ht="15" customHeight="1" hidden="1">
      <c r="A197" s="3"/>
      <c r="B197" s="477"/>
      <c r="C197" s="478"/>
      <c r="D197" s="479"/>
      <c r="E197" s="477"/>
      <c r="F197" s="478"/>
      <c r="G197" s="478"/>
      <c r="H197" s="479"/>
      <c r="I197" s="477"/>
      <c r="J197" s="478"/>
      <c r="K197" s="478"/>
      <c r="L197" s="478"/>
      <c r="M197" s="479"/>
      <c r="N197" s="477"/>
      <c r="O197" s="478"/>
      <c r="P197" s="478"/>
      <c r="Q197" s="479"/>
    </row>
    <row r="198" ht="15.75" thickBot="1"/>
    <row r="199" spans="1:18" ht="15" customHeight="1">
      <c r="A199" s="16" t="s">
        <v>74</v>
      </c>
      <c r="B199" s="18" t="s">
        <v>75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391"/>
    </row>
    <row r="200" ht="13.5" customHeight="1">
      <c r="A200" s="1" t="s">
        <v>76</v>
      </c>
    </row>
    <row r="201" ht="14.25" customHeight="1">
      <c r="A201" s="1" t="s">
        <v>77</v>
      </c>
    </row>
    <row r="203" ht="15">
      <c r="B203" s="1" t="s">
        <v>78</v>
      </c>
    </row>
    <row r="204" spans="1:18" ht="63.75" customHeight="1">
      <c r="A204" s="480" t="s">
        <v>182</v>
      </c>
      <c r="B204" s="481"/>
      <c r="C204" s="481"/>
      <c r="D204" s="481"/>
      <c r="E204" s="481"/>
      <c r="F204" s="481"/>
      <c r="G204" s="481"/>
      <c r="H204" s="481"/>
      <c r="I204" s="481"/>
      <c r="J204" s="481"/>
      <c r="K204" s="481"/>
      <c r="L204" s="481"/>
      <c r="M204" s="481"/>
      <c r="N204" s="481"/>
      <c r="O204" s="481"/>
      <c r="P204" s="481"/>
      <c r="Q204" s="482"/>
      <c r="R204" s="392"/>
    </row>
    <row r="207" ht="15">
      <c r="B207" s="1" t="s">
        <v>79</v>
      </c>
    </row>
    <row r="209" spans="1:17" ht="15">
      <c r="A209" s="483">
        <f>ROUND(P85/P67,2)</f>
        <v>48832.33</v>
      </c>
      <c r="B209" s="484"/>
      <c r="C209" s="484"/>
      <c r="D209" s="484"/>
      <c r="E209" s="484"/>
      <c r="F209" s="484"/>
      <c r="G209" s="484"/>
      <c r="H209" s="484"/>
      <c r="I209" s="484"/>
      <c r="J209" s="484"/>
      <c r="K209" s="484"/>
      <c r="L209" s="484"/>
      <c r="M209" s="484"/>
      <c r="N209" s="484"/>
      <c r="O209" s="484"/>
      <c r="P209" s="484"/>
      <c r="Q209" s="485"/>
    </row>
    <row r="212" ht="15">
      <c r="B212" s="1" t="s">
        <v>80</v>
      </c>
    </row>
    <row r="214" spans="1:17" ht="30.75" customHeight="1">
      <c r="A214" s="460" t="s">
        <v>92</v>
      </c>
      <c r="B214" s="461"/>
      <c r="C214" s="461"/>
      <c r="D214" s="461"/>
      <c r="E214" s="461"/>
      <c r="F214" s="461"/>
      <c r="G214" s="461"/>
      <c r="H214" s="461"/>
      <c r="I214" s="461"/>
      <c r="J214" s="461"/>
      <c r="K214" s="461"/>
      <c r="L214" s="461"/>
      <c r="M214" s="461"/>
      <c r="N214" s="461"/>
      <c r="O214" s="461"/>
      <c r="P214" s="461"/>
      <c r="Q214" s="462"/>
    </row>
    <row r="217" ht="15">
      <c r="B217" s="1" t="s">
        <v>81</v>
      </c>
    </row>
    <row r="218" ht="9" customHeight="1"/>
    <row r="219" spans="1:17" ht="86.25" customHeight="1">
      <c r="A219" s="463" t="s">
        <v>427</v>
      </c>
      <c r="B219" s="464"/>
      <c r="C219" s="464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4"/>
      <c r="O219" s="464"/>
      <c r="P219" s="464"/>
      <c r="Q219" s="465"/>
    </row>
    <row r="220" spans="1:1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">
      <c r="A221" s="28"/>
      <c r="B221" s="28" t="s">
        <v>82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35.25" customHeight="1">
      <c r="A223" s="466" t="s">
        <v>98</v>
      </c>
      <c r="B223" s="467"/>
      <c r="C223" s="467"/>
      <c r="D223" s="467"/>
      <c r="E223" s="467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468"/>
    </row>
    <row r="224" spans="1:17" ht="15">
      <c r="A224" s="29" t="s">
        <v>93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1"/>
    </row>
    <row r="225" spans="1:17" ht="24.75" customHeight="1">
      <c r="A225" s="469" t="s">
        <v>94</v>
      </c>
      <c r="B225" s="470"/>
      <c r="C225" s="470"/>
      <c r="D225" s="470"/>
      <c r="E225" s="470"/>
      <c r="F225" s="470"/>
      <c r="G225" s="470"/>
      <c r="H225" s="470"/>
      <c r="I225" s="470"/>
      <c r="J225" s="470"/>
      <c r="K225" s="470"/>
      <c r="L225" s="470"/>
      <c r="M225" s="470"/>
      <c r="N225" s="470"/>
      <c r="O225" s="470"/>
      <c r="P225" s="470"/>
      <c r="Q225" s="471"/>
    </row>
    <row r="226" spans="1:17" ht="15">
      <c r="A226" s="472" t="s">
        <v>95</v>
      </c>
      <c r="B226" s="473"/>
      <c r="C226" s="473"/>
      <c r="D226" s="473"/>
      <c r="E226" s="473"/>
      <c r="F226" s="473"/>
      <c r="G226" s="473"/>
      <c r="H226" s="473"/>
      <c r="I226" s="473"/>
      <c r="J226" s="473"/>
      <c r="K226" s="473"/>
      <c r="L226" s="473"/>
      <c r="M226" s="473"/>
      <c r="N226" s="473"/>
      <c r="O226" s="473"/>
      <c r="P226" s="473"/>
      <c r="Q226" s="474"/>
    </row>
    <row r="227" spans="1:17" ht="15">
      <c r="A227" s="32" t="s">
        <v>96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4"/>
    </row>
    <row r="228" spans="1:17" ht="15">
      <c r="A228" s="22" t="s">
        <v>97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23"/>
    </row>
    <row r="230" spans="2:14" ht="15">
      <c r="B230" s="475" t="s">
        <v>101</v>
      </c>
      <c r="C230" s="475"/>
      <c r="D230" s="475"/>
      <c r="E230" s="475"/>
      <c r="I230" s="19"/>
      <c r="J230" s="19"/>
      <c r="K230" s="459"/>
      <c r="L230" s="459"/>
      <c r="M230" s="459"/>
      <c r="N230" s="54" t="s">
        <v>429</v>
      </c>
    </row>
    <row r="232" spans="2:8" ht="15">
      <c r="B232" s="1" t="s">
        <v>83</v>
      </c>
      <c r="C232" s="19"/>
      <c r="E232" s="10"/>
      <c r="F232" s="21"/>
      <c r="G232" s="21"/>
      <c r="H232" s="21"/>
    </row>
    <row r="234" spans="2:14" ht="12.75" customHeight="1">
      <c r="B234" s="476" t="s">
        <v>464</v>
      </c>
      <c r="C234" s="476"/>
      <c r="D234" s="476"/>
      <c r="E234" s="476"/>
      <c r="F234" s="476"/>
      <c r="G234" s="476"/>
      <c r="I234" s="19"/>
      <c r="J234" s="19"/>
      <c r="K234" s="459"/>
      <c r="L234" s="459"/>
      <c r="M234" s="459"/>
      <c r="N234" s="54" t="s">
        <v>462</v>
      </c>
    </row>
    <row r="236" spans="2:8" ht="15">
      <c r="B236" s="1" t="s">
        <v>83</v>
      </c>
      <c r="C236" s="322" t="s">
        <v>488</v>
      </c>
      <c r="E236" s="10"/>
      <c r="F236" s="19"/>
      <c r="G236" s="19"/>
      <c r="H236" s="19"/>
    </row>
  </sheetData>
  <sheetProtection/>
  <mergeCells count="291">
    <mergeCell ref="N21:O21"/>
    <mergeCell ref="Q21:R21"/>
    <mergeCell ref="F22:G32"/>
    <mergeCell ref="H22:I32"/>
    <mergeCell ref="A12:R12"/>
    <mergeCell ref="A13:R13"/>
    <mergeCell ref="A14:R14"/>
    <mergeCell ref="D21:E21"/>
    <mergeCell ref="F21:G21"/>
    <mergeCell ref="H21:I21"/>
    <mergeCell ref="J21:K21"/>
    <mergeCell ref="L21:M21"/>
    <mergeCell ref="P38:R38"/>
    <mergeCell ref="D39:E39"/>
    <mergeCell ref="F39:G39"/>
    <mergeCell ref="H39:I39"/>
    <mergeCell ref="N39:O39"/>
    <mergeCell ref="Q22:R32"/>
    <mergeCell ref="P22:P32"/>
    <mergeCell ref="D37:R37"/>
    <mergeCell ref="A22:A32"/>
    <mergeCell ref="C22:C32"/>
    <mergeCell ref="D22:E32"/>
    <mergeCell ref="N22:O32"/>
    <mergeCell ref="B22:B32"/>
    <mergeCell ref="N40:O40"/>
    <mergeCell ref="J22:K32"/>
    <mergeCell ref="L22:M32"/>
    <mergeCell ref="A37:B39"/>
    <mergeCell ref="C37:C39"/>
    <mergeCell ref="D38:I38"/>
    <mergeCell ref="J38:O38"/>
    <mergeCell ref="H40:I40"/>
    <mergeCell ref="J40:K40"/>
    <mergeCell ref="D40:E40"/>
    <mergeCell ref="F40:G40"/>
    <mergeCell ref="J39:K39"/>
    <mergeCell ref="L39:M39"/>
    <mergeCell ref="L40:M40"/>
    <mergeCell ref="F43:G43"/>
    <mergeCell ref="D44:E44"/>
    <mergeCell ref="F44:G44"/>
    <mergeCell ref="D42:E42"/>
    <mergeCell ref="F42:G42"/>
    <mergeCell ref="D41:E41"/>
    <mergeCell ref="F41:G41"/>
    <mergeCell ref="D45:E45"/>
    <mergeCell ref="F45:G45"/>
    <mergeCell ref="D54:E54"/>
    <mergeCell ref="F54:G54"/>
    <mergeCell ref="D46:E46"/>
    <mergeCell ref="F46:G46"/>
    <mergeCell ref="D47:E47"/>
    <mergeCell ref="F47:G47"/>
    <mergeCell ref="D48:E48"/>
    <mergeCell ref="F48:G48"/>
    <mergeCell ref="D49:E49"/>
    <mergeCell ref="F49:G49"/>
    <mergeCell ref="P65:Q66"/>
    <mergeCell ref="A67:C67"/>
    <mergeCell ref="P67:Q67"/>
    <mergeCell ref="D59:E59"/>
    <mergeCell ref="F59:G59"/>
    <mergeCell ref="D60:E60"/>
    <mergeCell ref="F60:G60"/>
    <mergeCell ref="A40:B61"/>
    <mergeCell ref="D50:E50"/>
    <mergeCell ref="F50:G50"/>
    <mergeCell ref="F56:G56"/>
    <mergeCell ref="D52:E52"/>
    <mergeCell ref="F52:G52"/>
    <mergeCell ref="D51:E51"/>
    <mergeCell ref="F51:G51"/>
    <mergeCell ref="D55:E55"/>
    <mergeCell ref="F55:G55"/>
    <mergeCell ref="D53:E53"/>
    <mergeCell ref="F53:G53"/>
    <mergeCell ref="A68:C68"/>
    <mergeCell ref="A65:C66"/>
    <mergeCell ref="D65:O65"/>
    <mergeCell ref="D57:E57"/>
    <mergeCell ref="F57:G57"/>
    <mergeCell ref="D58:E58"/>
    <mergeCell ref="F58:G58"/>
    <mergeCell ref="C40:C61"/>
    <mergeCell ref="D43:E43"/>
    <mergeCell ref="D56:E56"/>
    <mergeCell ref="P85:Q85"/>
    <mergeCell ref="A90:R90"/>
    <mergeCell ref="A96:B97"/>
    <mergeCell ref="C96:C97"/>
    <mergeCell ref="A69:C69"/>
    <mergeCell ref="P69:Q69"/>
    <mergeCell ref="A70:C70"/>
    <mergeCell ref="P70:Q70"/>
    <mergeCell ref="D96:O96"/>
    <mergeCell ref="P98:Q98"/>
    <mergeCell ref="P99:Q99"/>
    <mergeCell ref="P100:Q100"/>
    <mergeCell ref="P68:Q68"/>
    <mergeCell ref="P96:Q97"/>
    <mergeCell ref="A76:R76"/>
    <mergeCell ref="A83:C84"/>
    <mergeCell ref="D83:O83"/>
    <mergeCell ref="P83:Q84"/>
    <mergeCell ref="A85:C85"/>
    <mergeCell ref="A104:B105"/>
    <mergeCell ref="P104:Q104"/>
    <mergeCell ref="P105:Q105"/>
    <mergeCell ref="A100:B101"/>
    <mergeCell ref="P101:Q101"/>
    <mergeCell ref="A102:B103"/>
    <mergeCell ref="P102:Q102"/>
    <mergeCell ref="P103:Q103"/>
    <mergeCell ref="A98:B99"/>
    <mergeCell ref="A113:R113"/>
    <mergeCell ref="A118:C119"/>
    <mergeCell ref="D118:O118"/>
    <mergeCell ref="P118:Q119"/>
    <mergeCell ref="P106:Q106"/>
    <mergeCell ref="P107:Q107"/>
    <mergeCell ref="A108:B108"/>
    <mergeCell ref="P108:Q108"/>
    <mergeCell ref="A106:B107"/>
    <mergeCell ref="A130:C131"/>
    <mergeCell ref="D130:O130"/>
    <mergeCell ref="P130:Q131"/>
    <mergeCell ref="A120:C120"/>
    <mergeCell ref="P120:Q120"/>
    <mergeCell ref="A121:C121"/>
    <mergeCell ref="P121:Q121"/>
    <mergeCell ref="A125:R125"/>
    <mergeCell ref="P132:Q132"/>
    <mergeCell ref="A133:C133"/>
    <mergeCell ref="P133:Q133"/>
    <mergeCell ref="A135:C135"/>
    <mergeCell ref="P135:Q135"/>
    <mergeCell ref="A134:C134"/>
    <mergeCell ref="P134:Q134"/>
    <mergeCell ref="A132:C132"/>
    <mergeCell ref="A139:C139"/>
    <mergeCell ref="P139:Q139"/>
    <mergeCell ref="A136:C136"/>
    <mergeCell ref="A140:C140"/>
    <mergeCell ref="P140:Q140"/>
    <mergeCell ref="P136:Q136"/>
    <mergeCell ref="A137:C137"/>
    <mergeCell ref="P137:Q137"/>
    <mergeCell ref="A138:C138"/>
    <mergeCell ref="P138:Q138"/>
    <mergeCell ref="P157:Q157"/>
    <mergeCell ref="P145:Q145"/>
    <mergeCell ref="A142:C142"/>
    <mergeCell ref="P142:Q142"/>
    <mergeCell ref="P143:Q143"/>
    <mergeCell ref="P144:Q144"/>
    <mergeCell ref="P153:Q153"/>
    <mergeCell ref="P154:Q154"/>
    <mergeCell ref="A150:Q150"/>
    <mergeCell ref="P146:Q146"/>
    <mergeCell ref="P149:Q149"/>
    <mergeCell ref="P151:Q151"/>
    <mergeCell ref="P152:Q152"/>
    <mergeCell ref="A147:C147"/>
    <mergeCell ref="P147:Q147"/>
    <mergeCell ref="A151:C151"/>
    <mergeCell ref="A152:C152"/>
    <mergeCell ref="A141:C141"/>
    <mergeCell ref="P141:Q141"/>
    <mergeCell ref="A161:R161"/>
    <mergeCell ref="B168:C168"/>
    <mergeCell ref="D168:E168"/>
    <mergeCell ref="A143:C143"/>
    <mergeCell ref="A144:C144"/>
    <mergeCell ref="A155:C155"/>
    <mergeCell ref="P156:Q156"/>
    <mergeCell ref="A146:C146"/>
    <mergeCell ref="F168:M168"/>
    <mergeCell ref="A145:C145"/>
    <mergeCell ref="A149:C149"/>
    <mergeCell ref="A156:C156"/>
    <mergeCell ref="A169:E169"/>
    <mergeCell ref="F169:G169"/>
    <mergeCell ref="H169:I169"/>
    <mergeCell ref="A153:C153"/>
    <mergeCell ref="A154:C154"/>
    <mergeCell ref="A157:C157"/>
    <mergeCell ref="B170:C170"/>
    <mergeCell ref="P155:Q155"/>
    <mergeCell ref="A148:Q148"/>
    <mergeCell ref="N169:O169"/>
    <mergeCell ref="J170:K170"/>
    <mergeCell ref="L170:M170"/>
    <mergeCell ref="N170:O170"/>
    <mergeCell ref="N168:R168"/>
    <mergeCell ref="J169:K169"/>
    <mergeCell ref="L169:M169"/>
    <mergeCell ref="J172:K172"/>
    <mergeCell ref="L172:M172"/>
    <mergeCell ref="N172:O172"/>
    <mergeCell ref="L171:M171"/>
    <mergeCell ref="N171:O171"/>
    <mergeCell ref="D170:E170"/>
    <mergeCell ref="F170:G170"/>
    <mergeCell ref="H170:I170"/>
    <mergeCell ref="J171:K171"/>
    <mergeCell ref="B172:C172"/>
    <mergeCell ref="D172:E172"/>
    <mergeCell ref="F172:G172"/>
    <mergeCell ref="H172:I172"/>
    <mergeCell ref="F171:G171"/>
    <mergeCell ref="H171:I171"/>
    <mergeCell ref="B171:C171"/>
    <mergeCell ref="D171:E171"/>
    <mergeCell ref="N174:O174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L174:M174"/>
    <mergeCell ref="F175:G175"/>
    <mergeCell ref="H175:I175"/>
    <mergeCell ref="J175:K175"/>
    <mergeCell ref="L175:M175"/>
    <mergeCell ref="D174:E174"/>
    <mergeCell ref="F174:G174"/>
    <mergeCell ref="H174:I174"/>
    <mergeCell ref="J174:K174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5:C175"/>
    <mergeCell ref="D175:E175"/>
    <mergeCell ref="A178:R178"/>
    <mergeCell ref="B182:D182"/>
    <mergeCell ref="E182:H182"/>
    <mergeCell ref="I182:M182"/>
    <mergeCell ref="N182:Q182"/>
    <mergeCell ref="B183:D183"/>
    <mergeCell ref="E183:H183"/>
    <mergeCell ref="I183:M183"/>
    <mergeCell ref="N183:Q183"/>
    <mergeCell ref="B184:D184"/>
    <mergeCell ref="E184:H184"/>
    <mergeCell ref="I184:M184"/>
    <mergeCell ref="N184:Q184"/>
    <mergeCell ref="B185:D185"/>
    <mergeCell ref="E185:H185"/>
    <mergeCell ref="I185:M185"/>
    <mergeCell ref="N185:Q185"/>
    <mergeCell ref="B186:D186"/>
    <mergeCell ref="E186:H186"/>
    <mergeCell ref="I186:M186"/>
    <mergeCell ref="N186:Q186"/>
    <mergeCell ref="A190:R190"/>
    <mergeCell ref="B194:D194"/>
    <mergeCell ref="E194:H194"/>
    <mergeCell ref="I194:M194"/>
    <mergeCell ref="N194:Q194"/>
    <mergeCell ref="B195:D195"/>
    <mergeCell ref="E195:H195"/>
    <mergeCell ref="I195:M195"/>
    <mergeCell ref="N195:Q195"/>
    <mergeCell ref="B196:D196"/>
    <mergeCell ref="E196:H196"/>
    <mergeCell ref="I196:M196"/>
    <mergeCell ref="N196:Q196"/>
    <mergeCell ref="B197:D197"/>
    <mergeCell ref="E197:H197"/>
    <mergeCell ref="I197:M197"/>
    <mergeCell ref="K230:M230"/>
    <mergeCell ref="A204:Q204"/>
    <mergeCell ref="A209:Q209"/>
    <mergeCell ref="N197:Q197"/>
    <mergeCell ref="K234:M234"/>
    <mergeCell ref="A214:Q214"/>
    <mergeCell ref="A219:Q219"/>
    <mergeCell ref="A223:Q223"/>
    <mergeCell ref="A225:Q225"/>
    <mergeCell ref="A226:Q226"/>
    <mergeCell ref="B230:E230"/>
    <mergeCell ref="B234:G234"/>
  </mergeCells>
  <printOptions/>
  <pageMargins left="0.7874015748031497" right="0" top="0" bottom="0" header="0.15748031496062992" footer="0"/>
  <pageSetup horizontalDpi="600" verticalDpi="600" orientation="landscape" paperSize="9" scale="90" r:id="rId1"/>
  <rowBreaks count="1" manualBreakCount="1">
    <brk id="20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2"/>
  <sheetViews>
    <sheetView view="pageBreakPreview" zoomScaleSheetLayoutView="100" zoomScalePageLayoutView="0" workbookViewId="0" topLeftCell="C51">
      <selection activeCell="G44" sqref="G44"/>
    </sheetView>
  </sheetViews>
  <sheetFormatPr defaultColWidth="9.140625" defaultRowHeight="15"/>
  <cols>
    <col min="1" max="1" width="9.140625" style="271" customWidth="1"/>
    <col min="2" max="2" width="52.28125" style="271" customWidth="1"/>
    <col min="3" max="3" width="18.28125" style="271" customWidth="1"/>
    <col min="4" max="4" width="18.7109375" style="271" customWidth="1"/>
    <col min="5" max="5" width="17.28125" style="271" customWidth="1"/>
    <col min="6" max="6" width="15.28125" style="271" customWidth="1"/>
    <col min="7" max="7" width="15.140625" style="271" customWidth="1"/>
    <col min="8" max="16384" width="9.140625" style="271" customWidth="1"/>
  </cols>
  <sheetData>
    <row r="1" ht="11.25" customHeight="1">
      <c r="G1" s="272" t="s">
        <v>362</v>
      </c>
    </row>
    <row r="2" ht="9" customHeight="1">
      <c r="G2" s="272" t="s">
        <v>485</v>
      </c>
    </row>
    <row r="3" ht="9.75" customHeight="1">
      <c r="G3" s="272" t="s">
        <v>486</v>
      </c>
    </row>
    <row r="4" ht="9.75" customHeight="1">
      <c r="G4" s="272" t="s">
        <v>3</v>
      </c>
    </row>
    <row r="5" ht="9" customHeight="1">
      <c r="G5" s="272" t="s">
        <v>4</v>
      </c>
    </row>
    <row r="6" ht="10.5" customHeight="1">
      <c r="G6" s="272" t="s">
        <v>5</v>
      </c>
    </row>
    <row r="7" ht="9" customHeight="1">
      <c r="G7" s="272" t="s">
        <v>6</v>
      </c>
    </row>
    <row r="8" ht="9.75" customHeight="1">
      <c r="G8" s="272" t="s">
        <v>7</v>
      </c>
    </row>
    <row r="9" ht="9" customHeight="1">
      <c r="G9" s="272" t="s">
        <v>8</v>
      </c>
    </row>
    <row r="10" ht="9.75" customHeight="1">
      <c r="G10" s="272" t="s">
        <v>9</v>
      </c>
    </row>
    <row r="11" spans="2:4" s="243" customFormat="1" ht="15.75">
      <c r="B11" s="273"/>
      <c r="C11" s="274" t="s">
        <v>363</v>
      </c>
      <c r="D11" s="273"/>
    </row>
    <row r="12" spans="2:4" s="243" customFormat="1" ht="15.75">
      <c r="B12" s="273"/>
      <c r="C12" s="274" t="s">
        <v>364</v>
      </c>
      <c r="D12" s="273"/>
    </row>
    <row r="13" spans="1:7" s="243" customFormat="1" ht="33" customHeight="1">
      <c r="A13" s="701" t="s">
        <v>365</v>
      </c>
      <c r="B13" s="701"/>
      <c r="C13" s="701"/>
      <c r="D13" s="701"/>
      <c r="E13" s="701"/>
      <c r="F13" s="701"/>
      <c r="G13" s="701"/>
    </row>
    <row r="14" spans="1:7" s="243" customFormat="1" ht="18.75" customHeight="1">
      <c r="A14" s="701" t="s">
        <v>428</v>
      </c>
      <c r="B14" s="701"/>
      <c r="C14" s="701"/>
      <c r="D14" s="701"/>
      <c r="E14" s="701"/>
      <c r="F14" s="701"/>
      <c r="G14" s="701"/>
    </row>
    <row r="15" spans="1:7" s="243" customFormat="1" ht="15.75">
      <c r="A15" s="275"/>
      <c r="B15" s="275"/>
      <c r="C15" s="275"/>
      <c r="D15" s="275"/>
      <c r="E15" s="275"/>
      <c r="F15" s="275"/>
      <c r="G15" s="275"/>
    </row>
    <row r="16" spans="2:4" s="243" customFormat="1" ht="15.75">
      <c r="B16" s="273"/>
      <c r="C16" s="274" t="s">
        <v>479</v>
      </c>
      <c r="D16" s="273"/>
    </row>
    <row r="17" spans="2:4" s="243" customFormat="1" ht="15.75">
      <c r="B17" s="273"/>
      <c r="C17" s="274"/>
      <c r="D17" s="273"/>
    </row>
    <row r="18" spans="1:3" s="243" customFormat="1" ht="17.25" customHeight="1">
      <c r="A18" s="276" t="s">
        <v>481</v>
      </c>
      <c r="B18" s="277"/>
      <c r="C18" s="278" t="s">
        <v>480</v>
      </c>
    </row>
    <row r="19" s="243" customFormat="1" ht="12.75" hidden="1">
      <c r="B19" s="279"/>
    </row>
    <row r="20" s="243" customFormat="1" ht="12.75">
      <c r="B20" s="279"/>
    </row>
    <row r="21" s="280" customFormat="1" ht="15">
      <c r="A21" s="280" t="s">
        <v>366</v>
      </c>
    </row>
    <row r="22" s="280" customFormat="1" ht="15">
      <c r="A22" s="280" t="s">
        <v>367</v>
      </c>
    </row>
    <row r="24" spans="1:7" ht="39" customHeight="1">
      <c r="A24" s="702" t="s">
        <v>368</v>
      </c>
      <c r="B24" s="703"/>
      <c r="C24" s="282" t="s">
        <v>16</v>
      </c>
      <c r="D24" s="282" t="s">
        <v>369</v>
      </c>
      <c r="E24" s="704" t="s">
        <v>370</v>
      </c>
      <c r="F24" s="704"/>
      <c r="G24" s="704"/>
    </row>
    <row r="25" spans="1:7" ht="21.75" customHeight="1">
      <c r="A25" s="705" t="s">
        <v>371</v>
      </c>
      <c r="B25" s="706"/>
      <c r="C25" s="706"/>
      <c r="D25" s="706"/>
      <c r="E25" s="706"/>
      <c r="F25" s="706"/>
      <c r="G25" s="707"/>
    </row>
    <row r="26" spans="1:7" ht="64.5" customHeight="1">
      <c r="A26" s="708" t="s">
        <v>372</v>
      </c>
      <c r="B26" s="709"/>
      <c r="C26" s="283" t="s">
        <v>106</v>
      </c>
      <c r="D26" s="284">
        <f>D27</f>
        <v>428</v>
      </c>
      <c r="E26" s="284">
        <f>E27</f>
        <v>429</v>
      </c>
      <c r="F26" s="284">
        <f>F27</f>
        <v>429</v>
      </c>
      <c r="G26" s="284">
        <f>G27</f>
        <v>439</v>
      </c>
    </row>
    <row r="27" spans="1:7" ht="12.75">
      <c r="A27" s="708" t="s">
        <v>373</v>
      </c>
      <c r="B27" s="709"/>
      <c r="C27" s="283" t="s">
        <v>106</v>
      </c>
      <c r="D27" s="336">
        <v>428</v>
      </c>
      <c r="E27" s="284">
        <f>'мун.задание'!J68</f>
        <v>429</v>
      </c>
      <c r="F27" s="284">
        <f>'мун.задание'!K68</f>
        <v>429</v>
      </c>
      <c r="G27" s="284">
        <f>'мун.задание'!L68</f>
        <v>439</v>
      </c>
    </row>
    <row r="28" spans="1:7" ht="15" customHeight="1">
      <c r="A28" s="708" t="s">
        <v>374</v>
      </c>
      <c r="B28" s="709"/>
      <c r="C28" s="283" t="s">
        <v>106</v>
      </c>
      <c r="D28" s="336">
        <v>428</v>
      </c>
      <c r="E28" s="284">
        <f>'мун.задание'!J69</f>
        <v>429</v>
      </c>
      <c r="F28" s="284">
        <f>'мун.задание'!K69</f>
        <v>429</v>
      </c>
      <c r="G28" s="284">
        <f>'мун.задание'!L69</f>
        <v>439</v>
      </c>
    </row>
    <row r="29" spans="1:7" ht="15" customHeight="1">
      <c r="A29" s="708" t="s">
        <v>375</v>
      </c>
      <c r="B29" s="709"/>
      <c r="C29" s="283" t="s">
        <v>106</v>
      </c>
      <c r="D29" s="336">
        <v>428</v>
      </c>
      <c r="E29" s="284">
        <f>'мун.задание'!J70</f>
        <v>429</v>
      </c>
      <c r="F29" s="284">
        <f>'мун.задание'!K70</f>
        <v>429</v>
      </c>
      <c r="G29" s="284">
        <f>'мун.задание'!L70</f>
        <v>439</v>
      </c>
    </row>
    <row r="30" spans="1:7" ht="22.5" customHeight="1">
      <c r="A30" s="705" t="s">
        <v>376</v>
      </c>
      <c r="B30" s="706"/>
      <c r="C30" s="706"/>
      <c r="D30" s="706"/>
      <c r="E30" s="706"/>
      <c r="F30" s="706"/>
      <c r="G30" s="707"/>
    </row>
    <row r="31" spans="1:7" ht="63" customHeight="1">
      <c r="A31" s="708" t="s">
        <v>377</v>
      </c>
      <c r="B31" s="709"/>
      <c r="C31" s="283" t="s">
        <v>106</v>
      </c>
      <c r="D31" s="284">
        <f>D32</f>
        <v>428</v>
      </c>
      <c r="E31" s="284">
        <f>E32</f>
        <v>429</v>
      </c>
      <c r="F31" s="284">
        <f>F32</f>
        <v>429</v>
      </c>
      <c r="G31" s="284">
        <f>G32</f>
        <v>439</v>
      </c>
    </row>
    <row r="32" spans="1:7" ht="12.75">
      <c r="A32" s="708" t="s">
        <v>373</v>
      </c>
      <c r="B32" s="709"/>
      <c r="C32" s="283" t="s">
        <v>106</v>
      </c>
      <c r="D32" s="284">
        <f aca="true" t="shared" si="0" ref="D32:G34">D27</f>
        <v>428</v>
      </c>
      <c r="E32" s="284">
        <f t="shared" si="0"/>
        <v>429</v>
      </c>
      <c r="F32" s="284">
        <f t="shared" si="0"/>
        <v>429</v>
      </c>
      <c r="G32" s="284">
        <f t="shared" si="0"/>
        <v>439</v>
      </c>
    </row>
    <row r="33" spans="1:7" ht="13.5" customHeight="1">
      <c r="A33" s="708" t="s">
        <v>374</v>
      </c>
      <c r="B33" s="709"/>
      <c r="C33" s="283" t="s">
        <v>106</v>
      </c>
      <c r="D33" s="284">
        <f t="shared" si="0"/>
        <v>428</v>
      </c>
      <c r="E33" s="284">
        <f t="shared" si="0"/>
        <v>429</v>
      </c>
      <c r="F33" s="284">
        <f t="shared" si="0"/>
        <v>429</v>
      </c>
      <c r="G33" s="284">
        <f t="shared" si="0"/>
        <v>439</v>
      </c>
    </row>
    <row r="34" spans="1:7" ht="13.5" customHeight="1">
      <c r="A34" s="708" t="s">
        <v>375</v>
      </c>
      <c r="B34" s="709"/>
      <c r="C34" s="283" t="s">
        <v>106</v>
      </c>
      <c r="D34" s="284">
        <f t="shared" si="0"/>
        <v>428</v>
      </c>
      <c r="E34" s="284">
        <f t="shared" si="0"/>
        <v>429</v>
      </c>
      <c r="F34" s="284">
        <f t="shared" si="0"/>
        <v>429</v>
      </c>
      <c r="G34" s="284">
        <f t="shared" si="0"/>
        <v>439</v>
      </c>
    </row>
    <row r="38" s="280" customFormat="1" ht="15">
      <c r="A38" s="280" t="s">
        <v>378</v>
      </c>
    </row>
    <row r="40" spans="1:7" ht="31.5" customHeight="1">
      <c r="A40" s="702" t="s">
        <v>368</v>
      </c>
      <c r="B40" s="703"/>
      <c r="C40" s="702" t="s">
        <v>379</v>
      </c>
      <c r="D40" s="703"/>
      <c r="E40" s="704" t="s">
        <v>380</v>
      </c>
      <c r="F40" s="704"/>
      <c r="G40" s="704"/>
    </row>
    <row r="41" spans="1:7" ht="19.5" customHeight="1">
      <c r="A41" s="705" t="s">
        <v>371</v>
      </c>
      <c r="B41" s="706"/>
      <c r="C41" s="706"/>
      <c r="D41" s="706"/>
      <c r="E41" s="706"/>
      <c r="F41" s="706"/>
      <c r="G41" s="707"/>
    </row>
    <row r="42" spans="1:9" ht="67.5" customHeight="1">
      <c r="A42" s="716" t="s">
        <v>381</v>
      </c>
      <c r="B42" s="717"/>
      <c r="C42" s="718" t="e">
        <f>C43+C49</f>
        <v>#REF!</v>
      </c>
      <c r="D42" s="719"/>
      <c r="E42" s="285" t="e">
        <f>E43+E49</f>
        <v>#REF!</v>
      </c>
      <c r="F42" s="285" t="e">
        <f>F43+F49</f>
        <v>#REF!</v>
      </c>
      <c r="G42" s="285" t="e">
        <f>G43+G49</f>
        <v>#REF!</v>
      </c>
      <c r="H42" s="271">
        <f>3785.774+6147.42093+2380.074</f>
        <v>12313.26893</v>
      </c>
      <c r="I42" s="327" t="e">
        <f>H42-C42</f>
        <v>#REF!</v>
      </c>
    </row>
    <row r="43" spans="1:7" s="287" customFormat="1" ht="67.5" customHeight="1">
      <c r="A43" s="710" t="s">
        <v>382</v>
      </c>
      <c r="B43" s="711"/>
      <c r="C43" s="712" t="e">
        <f>SUM(C44:D48)</f>
        <v>#REF!</v>
      </c>
      <c r="D43" s="713"/>
      <c r="E43" s="286" t="e">
        <f>SUM(E44:E48)</f>
        <v>#REF!</v>
      </c>
      <c r="F43" s="286" t="e">
        <f>SUM(F44:F48)</f>
        <v>#REF!</v>
      </c>
      <c r="G43" s="286" t="e">
        <f>SUM(G44:G48)</f>
        <v>#REF!</v>
      </c>
    </row>
    <row r="44" spans="1:7" ht="28.5" customHeight="1">
      <c r="A44" s="708" t="s">
        <v>383</v>
      </c>
      <c r="B44" s="709"/>
      <c r="C44" s="714">
        <f>400.664+E44+F44+G44</f>
        <v>400.664</v>
      </c>
      <c r="D44" s="715"/>
      <c r="E44" s="288">
        <f>'мун.задание'!J99/1000</f>
        <v>0</v>
      </c>
      <c r="F44" s="288">
        <f>'мун.задание'!K99/1000</f>
        <v>0</v>
      </c>
      <c r="G44" s="288">
        <f>'мун.задание'!L99/1000</f>
        <v>0</v>
      </c>
    </row>
    <row r="45" spans="1:7" ht="28.5" customHeight="1">
      <c r="A45" s="708" t="s">
        <v>425</v>
      </c>
      <c r="B45" s="709"/>
      <c r="C45" s="714" t="e">
        <f>165.302+E45+F45+G45</f>
        <v>#REF!</v>
      </c>
      <c r="D45" s="715"/>
      <c r="E45" s="288" t="e">
        <f>'мун.задание'!#REF!/1000</f>
        <v>#REF!</v>
      </c>
      <c r="F45" s="288" t="e">
        <f>'мун.задание'!#REF!/1000</f>
        <v>#REF!</v>
      </c>
      <c r="G45" s="288" t="e">
        <f>'мун.задание'!#REF!/1000</f>
        <v>#REF!</v>
      </c>
    </row>
    <row r="46" spans="1:7" ht="28.5" customHeight="1">
      <c r="A46" s="708" t="s">
        <v>384</v>
      </c>
      <c r="B46" s="709"/>
      <c r="C46" s="714">
        <f>4615.2114+E46+F46+G46</f>
        <v>5876.59543</v>
      </c>
      <c r="D46" s="715"/>
      <c r="E46" s="288">
        <f>'мун.задание'!J101/1000</f>
        <v>395.80827</v>
      </c>
      <c r="F46" s="288">
        <f>'мун.задание'!K101/1000</f>
        <v>333.31241</v>
      </c>
      <c r="G46" s="288">
        <f>'мун.задание'!L101/1000</f>
        <v>532.26335</v>
      </c>
    </row>
    <row r="47" spans="1:7" ht="15" customHeight="1">
      <c r="A47" s="708" t="s">
        <v>385</v>
      </c>
      <c r="B47" s="709"/>
      <c r="C47" s="714">
        <f>1341.24493+E47+F47+G47</f>
        <v>1665.81593</v>
      </c>
      <c r="D47" s="715"/>
      <c r="E47" s="288">
        <f>'мун.задание'!J103/1000</f>
        <v>99.456</v>
      </c>
      <c r="F47" s="288">
        <f>'мун.задание'!K103/1000</f>
        <v>117.223</v>
      </c>
      <c r="G47" s="288">
        <f>'мун.задание'!L103/1000</f>
        <v>107.892</v>
      </c>
    </row>
    <row r="48" spans="1:7" ht="15" customHeight="1">
      <c r="A48" s="708" t="s">
        <v>386</v>
      </c>
      <c r="B48" s="709"/>
      <c r="C48" s="714">
        <f>3069.4486+E48+F48+G48</f>
        <v>4020.66357</v>
      </c>
      <c r="D48" s="715"/>
      <c r="E48" s="288">
        <f>'мун.задание'!J107/1000</f>
        <v>325.50473</v>
      </c>
      <c r="F48" s="288">
        <f>'мун.задание'!K107/1000</f>
        <v>105.81659000000002</v>
      </c>
      <c r="G48" s="288">
        <f>'мун.задание'!L107/1000</f>
        <v>519.89365</v>
      </c>
    </row>
    <row r="49" spans="1:7" s="287" customFormat="1" ht="68.25" customHeight="1">
      <c r="A49" s="710" t="s">
        <v>387</v>
      </c>
      <c r="B49" s="711"/>
      <c r="C49" s="712">
        <f>C50</f>
        <v>576.414</v>
      </c>
      <c r="D49" s="713"/>
      <c r="E49" s="286">
        <f>E50</f>
        <v>235.09</v>
      </c>
      <c r="F49" s="286">
        <f>F50</f>
        <v>0</v>
      </c>
      <c r="G49" s="286">
        <f>G50</f>
        <v>0</v>
      </c>
    </row>
    <row r="50" spans="1:7" ht="15" customHeight="1">
      <c r="A50" s="708" t="s">
        <v>375</v>
      </c>
      <c r="B50" s="709"/>
      <c r="C50" s="714">
        <f>341.324+E50+F50+G50</f>
        <v>576.414</v>
      </c>
      <c r="D50" s="715"/>
      <c r="E50" s="288">
        <f>'мун.задание'!J121/1000</f>
        <v>235.09</v>
      </c>
      <c r="F50" s="288">
        <f>'мун.задание'!K121/1000</f>
        <v>0</v>
      </c>
      <c r="G50" s="288">
        <f>'мун.задание'!L121/1000</f>
        <v>0</v>
      </c>
    </row>
    <row r="51" spans="1:9" s="287" customFormat="1" ht="65.25" customHeight="1">
      <c r="A51" s="710" t="s">
        <v>388</v>
      </c>
      <c r="B51" s="711"/>
      <c r="C51" s="720">
        <f>SUM(C52:D70)</f>
        <v>1061.2140399999998</v>
      </c>
      <c r="D51" s="721"/>
      <c r="E51" s="291">
        <f>SUM(E52:E70)</f>
        <v>34.6745</v>
      </c>
      <c r="F51" s="291">
        <f>SUM(F52:F70)</f>
        <v>7.56</v>
      </c>
      <c r="G51" s="291">
        <f>SUM(G52:G70)</f>
        <v>176.49099999999999</v>
      </c>
      <c r="H51" s="287">
        <f>446.99844+395.4901+1617.88241</f>
        <v>2460.37095</v>
      </c>
      <c r="I51" s="328">
        <f>H51-C51</f>
        <v>1399.1569100000002</v>
      </c>
    </row>
    <row r="52" spans="1:7" ht="15" customHeight="1">
      <c r="A52" s="708" t="s">
        <v>177</v>
      </c>
      <c r="B52" s="709"/>
      <c r="C52" s="722">
        <f>E52+F52+G52</f>
        <v>0</v>
      </c>
      <c r="D52" s="723"/>
      <c r="E52" s="290">
        <f>'мун.задание'!D134/1000</f>
        <v>0</v>
      </c>
      <c r="F52" s="290">
        <f>'мун.задание'!E134/1000</f>
        <v>0</v>
      </c>
      <c r="G52" s="290">
        <f>'мун.задание'!F134/1000</f>
        <v>0</v>
      </c>
    </row>
    <row r="53" spans="1:7" ht="27" customHeight="1">
      <c r="A53" s="708" t="s">
        <v>133</v>
      </c>
      <c r="B53" s="709"/>
      <c r="C53" s="722">
        <f>E53+F53+G53</f>
        <v>0</v>
      </c>
      <c r="D53" s="723"/>
      <c r="E53" s="290">
        <f>'мун.задание'!J133/1000</f>
        <v>0</v>
      </c>
      <c r="F53" s="290">
        <f>'мун.задание'!K133/1000</f>
        <v>0</v>
      </c>
      <c r="G53" s="290">
        <f>'мун.задание'!L133/1000</f>
        <v>0</v>
      </c>
    </row>
    <row r="54" spans="1:7" ht="27.75" customHeight="1">
      <c r="A54" s="708" t="s">
        <v>87</v>
      </c>
      <c r="B54" s="709"/>
      <c r="C54" s="722">
        <f>E54+F54+G54</f>
        <v>0</v>
      </c>
      <c r="D54" s="723"/>
      <c r="E54" s="290">
        <f>'мун.задание'!D135/1000</f>
        <v>0</v>
      </c>
      <c r="F54" s="290">
        <f>'мун.задание'!E135/1000</f>
        <v>0</v>
      </c>
      <c r="G54" s="290">
        <f>'мун.задание'!F135/1000</f>
        <v>0</v>
      </c>
    </row>
    <row r="55" spans="1:7" ht="52.5" customHeight="1">
      <c r="A55" s="708" t="s">
        <v>389</v>
      </c>
      <c r="B55" s="709"/>
      <c r="C55" s="722">
        <f>E55+F55+G55</f>
        <v>0</v>
      </c>
      <c r="D55" s="723"/>
      <c r="E55" s="290">
        <f>'мун.задание'!J137/1000</f>
        <v>0</v>
      </c>
      <c r="F55" s="290">
        <f>'мун.задание'!K137/1000</f>
        <v>0</v>
      </c>
      <c r="G55" s="290">
        <f>'мун.задание'!L137/1000</f>
        <v>0</v>
      </c>
    </row>
    <row r="56" spans="1:7" ht="40.5" customHeight="1">
      <c r="A56" s="708" t="s">
        <v>145</v>
      </c>
      <c r="B56" s="709"/>
      <c r="C56" s="722">
        <f>E56+F56+G56</f>
        <v>0</v>
      </c>
      <c r="D56" s="723"/>
      <c r="E56" s="290">
        <f>'мун.задание'!J138/1000</f>
        <v>0</v>
      </c>
      <c r="F56" s="290">
        <f>'мун.задание'!K138/1000</f>
        <v>0</v>
      </c>
      <c r="G56" s="290">
        <f>'мун.задание'!L138/1000</f>
        <v>0</v>
      </c>
    </row>
    <row r="57" spans="1:7" ht="12.75">
      <c r="A57" s="708" t="s">
        <v>89</v>
      </c>
      <c r="B57" s="709"/>
      <c r="C57" s="714">
        <f>51.32+E57+F57+G57</f>
        <v>51.32</v>
      </c>
      <c r="D57" s="715"/>
      <c r="E57" s="290">
        <f>'мун.задание'!J140/1000</f>
        <v>0</v>
      </c>
      <c r="F57" s="290">
        <f>'мун.задание'!K140/1000</f>
        <v>0</v>
      </c>
      <c r="G57" s="290">
        <f>'мун.задание'!L140/1000</f>
        <v>0</v>
      </c>
    </row>
    <row r="58" spans="1:7" ht="15" customHeight="1">
      <c r="A58" s="708" t="s">
        <v>135</v>
      </c>
      <c r="B58" s="709"/>
      <c r="C58" s="714">
        <f>205.002+E58+F58+G58</f>
        <v>205.002</v>
      </c>
      <c r="D58" s="715"/>
      <c r="E58" s="290">
        <f>'мун.задание'!J142/1000</f>
        <v>0</v>
      </c>
      <c r="F58" s="290">
        <f>'мун.задание'!K142/1000</f>
        <v>0</v>
      </c>
      <c r="G58" s="290">
        <f>'мун.задание'!L142/1000</f>
        <v>0</v>
      </c>
    </row>
    <row r="59" spans="1:7" ht="54.75" customHeight="1">
      <c r="A59" s="708" t="s">
        <v>136</v>
      </c>
      <c r="B59" s="709"/>
      <c r="C59" s="714">
        <f>307.47655+E59+F59+G59</f>
        <v>507.15504999999996</v>
      </c>
      <c r="D59" s="715"/>
      <c r="E59" s="290">
        <f>'мун.задание'!J143/1000</f>
        <v>27.1145</v>
      </c>
      <c r="F59" s="290">
        <f>'мун.задание'!K143/1000</f>
        <v>0</v>
      </c>
      <c r="G59" s="290">
        <f>'мун.задание'!L143/1000</f>
        <v>172.564</v>
      </c>
    </row>
    <row r="60" spans="1:7" ht="55.5" customHeight="1">
      <c r="A60" s="708" t="s">
        <v>390</v>
      </c>
      <c r="B60" s="709"/>
      <c r="C60" s="714">
        <f>25.2+E60+F60+G60</f>
        <v>44.247</v>
      </c>
      <c r="D60" s="715"/>
      <c r="E60" s="290">
        <f>'мун.задание'!J144/1000</f>
        <v>7.56</v>
      </c>
      <c r="F60" s="290">
        <f>'мун.задание'!K144/1000</f>
        <v>7.56</v>
      </c>
      <c r="G60" s="290">
        <f>'мун.задание'!L144/1000</f>
        <v>3.927</v>
      </c>
    </row>
    <row r="61" spans="1:7" ht="25.5" customHeight="1">
      <c r="A61" s="708" t="s">
        <v>134</v>
      </c>
      <c r="B61" s="709"/>
      <c r="C61" s="714">
        <f>22.31845+E61+F61+G61</f>
        <v>22.31845</v>
      </c>
      <c r="D61" s="715"/>
      <c r="E61" s="290">
        <f>'мун.задание'!J145/1000</f>
        <v>0</v>
      </c>
      <c r="F61" s="290">
        <f>'мун.задание'!K145/1000</f>
        <v>0</v>
      </c>
      <c r="G61" s="290">
        <f>'мун.задание'!L145/1000</f>
        <v>0</v>
      </c>
    </row>
    <row r="62" spans="1:7" ht="38.25" customHeight="1">
      <c r="A62" s="730" t="s">
        <v>361</v>
      </c>
      <c r="B62" s="730"/>
      <c r="C62" s="714">
        <f>63.7787+E62+F62+G62</f>
        <v>63.7787</v>
      </c>
      <c r="D62" s="715"/>
      <c r="E62" s="290">
        <f>'мун.задание'!J146/1000</f>
        <v>0</v>
      </c>
      <c r="F62" s="290">
        <f>'мун.задание'!K146/1000</f>
        <v>0</v>
      </c>
      <c r="G62" s="290">
        <f>'мун.задание'!L146/1000</f>
        <v>0</v>
      </c>
    </row>
    <row r="63" spans="1:7" ht="38.25" customHeight="1">
      <c r="A63" s="730" t="s">
        <v>447</v>
      </c>
      <c r="B63" s="730"/>
      <c r="C63" s="722">
        <f>E63+F63+G63</f>
        <v>0</v>
      </c>
      <c r="D63" s="723"/>
      <c r="E63" s="290">
        <f>'мун.задание'!J147/1000</f>
        <v>0</v>
      </c>
      <c r="F63" s="290">
        <f>'мун.задание'!K147/1000</f>
        <v>0</v>
      </c>
      <c r="G63" s="290">
        <f>'мун.задание'!L147/1000</f>
        <v>0</v>
      </c>
    </row>
    <row r="64" spans="1:7" ht="27" customHeight="1">
      <c r="A64" s="724" t="s">
        <v>355</v>
      </c>
      <c r="B64" s="724"/>
      <c r="C64" s="724"/>
      <c r="D64" s="724"/>
      <c r="E64" s="724"/>
      <c r="F64" s="724"/>
      <c r="G64" s="725"/>
    </row>
    <row r="65" spans="1:7" ht="38.25" customHeight="1">
      <c r="A65" s="735" t="s">
        <v>145</v>
      </c>
      <c r="B65" s="709"/>
      <c r="C65" s="714">
        <f>45.09349+E65+F65+G65</f>
        <v>45.09349</v>
      </c>
      <c r="D65" s="715"/>
      <c r="E65" s="290">
        <f>'мун.задание'!D149/1000</f>
        <v>0</v>
      </c>
      <c r="F65" s="290">
        <f>'мун.задание'!E149/1000</f>
        <v>0</v>
      </c>
      <c r="G65" s="290">
        <v>0</v>
      </c>
    </row>
    <row r="66" spans="1:7" ht="21.75" customHeight="1">
      <c r="A66" s="541" t="s">
        <v>356</v>
      </c>
      <c r="B66" s="542"/>
      <c r="C66" s="542"/>
      <c r="D66" s="542"/>
      <c r="E66" s="542"/>
      <c r="F66" s="542"/>
      <c r="G66" s="542"/>
    </row>
    <row r="67" spans="1:7" ht="38.25" customHeight="1" hidden="1">
      <c r="A67" s="735" t="s">
        <v>357</v>
      </c>
      <c r="B67" s="709"/>
      <c r="C67" s="722">
        <f>E67+F67+G67</f>
        <v>0</v>
      </c>
      <c r="D67" s="723"/>
      <c r="E67" s="290">
        <f>'мун.задание'!D151/1000</f>
        <v>0</v>
      </c>
      <c r="F67" s="290">
        <f>'мун.задание'!E151/1000</f>
        <v>0</v>
      </c>
      <c r="G67" s="290">
        <f>'мун.задание'!F151/1000</f>
        <v>0</v>
      </c>
    </row>
    <row r="68" spans="1:7" ht="12.75">
      <c r="A68" s="735" t="s">
        <v>358</v>
      </c>
      <c r="B68" s="709"/>
      <c r="C68" s="714">
        <f>37.81+E68+F68+G68</f>
        <v>37.81</v>
      </c>
      <c r="D68" s="715"/>
      <c r="E68" s="290">
        <f>'мун.задание'!D152/1000</f>
        <v>0</v>
      </c>
      <c r="F68" s="290">
        <f>'мун.задание'!E152/1000</f>
        <v>0</v>
      </c>
      <c r="G68" s="290">
        <v>0</v>
      </c>
    </row>
    <row r="69" spans="1:7" ht="23.25" customHeight="1">
      <c r="A69" s="735" t="s">
        <v>359</v>
      </c>
      <c r="B69" s="709"/>
      <c r="C69" s="714">
        <f>30.29935+E69+F69+G69</f>
        <v>30.29935</v>
      </c>
      <c r="D69" s="715"/>
      <c r="E69" s="290">
        <f>'мун.задание'!D153/1000</f>
        <v>0</v>
      </c>
      <c r="F69" s="290">
        <f>'мун.задание'!E153/1000</f>
        <v>0</v>
      </c>
      <c r="G69" s="290">
        <v>0</v>
      </c>
    </row>
    <row r="70" spans="1:7" ht="51.75" customHeight="1">
      <c r="A70" s="731" t="s">
        <v>360</v>
      </c>
      <c r="B70" s="732"/>
      <c r="C70" s="714">
        <f>54.19+E70+F70+G70</f>
        <v>54.19</v>
      </c>
      <c r="D70" s="715"/>
      <c r="E70" s="290">
        <f>'мун.задание'!D154/1000</f>
        <v>0</v>
      </c>
      <c r="F70" s="290">
        <f>'мун.задание'!E154/1000</f>
        <v>0</v>
      </c>
      <c r="G70" s="290">
        <v>0</v>
      </c>
    </row>
    <row r="71" spans="1:7" ht="21.75" customHeight="1">
      <c r="A71" s="705" t="s">
        <v>376</v>
      </c>
      <c r="B71" s="706"/>
      <c r="C71" s="706"/>
      <c r="D71" s="706"/>
      <c r="E71" s="706"/>
      <c r="F71" s="706"/>
      <c r="G71" s="707"/>
    </row>
    <row r="72" spans="1:7" s="292" customFormat="1" ht="66" customHeight="1">
      <c r="A72" s="716" t="s">
        <v>381</v>
      </c>
      <c r="B72" s="717"/>
      <c r="C72" s="718">
        <f>C73+C79</f>
        <v>12269.36123</v>
      </c>
      <c r="D72" s="719"/>
      <c r="E72" s="285">
        <f>E73+E79</f>
        <v>914.70593</v>
      </c>
      <c r="F72" s="285">
        <f>F73+F79</f>
        <v>575.72599</v>
      </c>
      <c r="G72" s="285">
        <f>G73+G79</f>
        <v>965.3493100000001</v>
      </c>
    </row>
    <row r="73" spans="1:7" ht="66.75" customHeight="1">
      <c r="A73" s="710" t="s">
        <v>382</v>
      </c>
      <c r="B73" s="711"/>
      <c r="C73" s="712">
        <f>SUM(C74:D78)</f>
        <v>11766.19323</v>
      </c>
      <c r="D73" s="713"/>
      <c r="E73" s="286">
        <f>SUM(E74:E78)</f>
        <v>880.7989299999999</v>
      </c>
      <c r="F73" s="286">
        <f>SUM(F74:F78)</f>
        <v>440.89899</v>
      </c>
      <c r="G73" s="286">
        <f>SUM(G74:G78)</f>
        <v>965.3493100000001</v>
      </c>
    </row>
    <row r="74" spans="1:7" ht="24.75" customHeight="1">
      <c r="A74" s="708" t="s">
        <v>383</v>
      </c>
      <c r="B74" s="709"/>
      <c r="C74" s="714">
        <f>400.664+E74+F74+G74</f>
        <v>516.50254</v>
      </c>
      <c r="D74" s="715"/>
      <c r="E74" s="288">
        <f>касса!K34/1000</f>
        <v>40.100199999999994</v>
      </c>
      <c r="F74" s="288">
        <f>касса!L34/1000</f>
        <v>10.028</v>
      </c>
      <c r="G74" s="288">
        <f>касса!M34/1000</f>
        <v>65.71034</v>
      </c>
    </row>
    <row r="75" spans="1:7" ht="27" customHeight="1">
      <c r="A75" s="708" t="s">
        <v>425</v>
      </c>
      <c r="B75" s="709"/>
      <c r="C75" s="714">
        <f>165.302+E75+F75+G75</f>
        <v>214.59891000000002</v>
      </c>
      <c r="D75" s="715"/>
      <c r="E75" s="288">
        <f>касса!K33/1000</f>
        <v>31.156</v>
      </c>
      <c r="F75" s="288">
        <f>касса!L33/1000</f>
        <v>2.193</v>
      </c>
      <c r="G75" s="288">
        <f>касса!M33/1000</f>
        <v>15.94791</v>
      </c>
    </row>
    <row r="76" spans="1:7" ht="25.5" customHeight="1">
      <c r="A76" s="708" t="s">
        <v>384</v>
      </c>
      <c r="B76" s="709"/>
      <c r="C76" s="714">
        <f>4615.2114+E76+F76+G76</f>
        <v>5196.22008</v>
      </c>
      <c r="D76" s="715"/>
      <c r="E76" s="288">
        <f>касса!K32/1000</f>
        <v>61.999</v>
      </c>
      <c r="F76" s="288">
        <f>касса!L32/1000</f>
        <v>100.438</v>
      </c>
      <c r="G76" s="288">
        <f>касса!M32/1000</f>
        <v>418.57168</v>
      </c>
    </row>
    <row r="77" spans="1:7" ht="15.75" customHeight="1">
      <c r="A77" s="708" t="s">
        <v>385</v>
      </c>
      <c r="B77" s="709"/>
      <c r="C77" s="714">
        <f>1228.52+E77+F77+G77</f>
        <v>1665.41778</v>
      </c>
      <c r="D77" s="715"/>
      <c r="E77" s="288">
        <f>касса!K38/1000</f>
        <v>259.90873</v>
      </c>
      <c r="F77" s="288">
        <f>касса!L38/1000</f>
        <v>94.067</v>
      </c>
      <c r="G77" s="288">
        <f>касса!M38/1000</f>
        <v>82.92205</v>
      </c>
    </row>
    <row r="78" spans="1:7" ht="19.5" customHeight="1">
      <c r="A78" s="708" t="s">
        <v>386</v>
      </c>
      <c r="B78" s="709"/>
      <c r="C78" s="714">
        <f>3069.4486+E78+F78+G78</f>
        <v>4173.45392</v>
      </c>
      <c r="D78" s="715"/>
      <c r="E78" s="288">
        <f>касса!K37/1000</f>
        <v>487.635</v>
      </c>
      <c r="F78" s="288">
        <f>касса!L37/1000</f>
        <v>234.17299</v>
      </c>
      <c r="G78" s="288">
        <f>касса!M37/1000</f>
        <v>382.1973300000001</v>
      </c>
    </row>
    <row r="79" spans="1:7" ht="66" customHeight="1">
      <c r="A79" s="710" t="s">
        <v>387</v>
      </c>
      <c r="B79" s="711"/>
      <c r="C79" s="712">
        <f>C80</f>
        <v>503.168</v>
      </c>
      <c r="D79" s="713"/>
      <c r="E79" s="286">
        <f>E80</f>
        <v>33.907</v>
      </c>
      <c r="F79" s="286">
        <f>F80</f>
        <v>134.827</v>
      </c>
      <c r="G79" s="286">
        <f>G80</f>
        <v>0</v>
      </c>
    </row>
    <row r="80" spans="1:7" ht="12.75">
      <c r="A80" s="708" t="s">
        <v>375</v>
      </c>
      <c r="B80" s="709"/>
      <c r="C80" s="714">
        <f>334.434+E80+F80+G80</f>
        <v>503.168</v>
      </c>
      <c r="D80" s="715"/>
      <c r="E80" s="288">
        <f>касса!K41/1000</f>
        <v>33.907</v>
      </c>
      <c r="F80" s="288">
        <f>касса!L41/1000</f>
        <v>134.827</v>
      </c>
      <c r="G80" s="288">
        <f>касса!M41/1000</f>
        <v>0</v>
      </c>
    </row>
    <row r="81" spans="1:7" ht="71.25" customHeight="1">
      <c r="A81" s="710" t="s">
        <v>388</v>
      </c>
      <c r="B81" s="711"/>
      <c r="C81" s="720">
        <f>SUM(C82:D100)</f>
        <v>1065.37969</v>
      </c>
      <c r="D81" s="721"/>
      <c r="E81" s="291">
        <f>SUM(E82:E100)</f>
        <v>234.74375</v>
      </c>
      <c r="F81" s="291">
        <f>SUM(F82:F100)</f>
        <v>4.2</v>
      </c>
      <c r="G81" s="291">
        <f>SUM(G82:G100)</f>
        <v>4.2</v>
      </c>
    </row>
    <row r="82" spans="1:7" ht="15.75" customHeight="1">
      <c r="A82" s="708" t="s">
        <v>177</v>
      </c>
      <c r="B82" s="709"/>
      <c r="C82" s="722">
        <v>0</v>
      </c>
      <c r="D82" s="723"/>
      <c r="E82" s="290"/>
      <c r="F82" s="290"/>
      <c r="G82" s="290"/>
    </row>
    <row r="83" spans="1:7" ht="27.75" customHeight="1">
      <c r="A83" s="708" t="s">
        <v>133</v>
      </c>
      <c r="B83" s="709"/>
      <c r="C83" s="722">
        <f>E83+F83+G83</f>
        <v>0</v>
      </c>
      <c r="D83" s="723"/>
      <c r="E83" s="290"/>
      <c r="F83" s="290"/>
      <c r="G83" s="290"/>
    </row>
    <row r="84" spans="1:7" ht="27.75" customHeight="1">
      <c r="A84" s="708" t="s">
        <v>87</v>
      </c>
      <c r="B84" s="709"/>
      <c r="C84" s="722">
        <f>E84+F84+G84</f>
        <v>0</v>
      </c>
      <c r="D84" s="723"/>
      <c r="E84" s="290"/>
      <c r="F84" s="290"/>
      <c r="G84" s="290"/>
    </row>
    <row r="85" spans="1:7" ht="27" customHeight="1">
      <c r="A85" s="708" t="s">
        <v>389</v>
      </c>
      <c r="B85" s="709"/>
      <c r="C85" s="722">
        <f>E85+F85+G85</f>
        <v>0</v>
      </c>
      <c r="D85" s="723"/>
      <c r="E85" s="290"/>
      <c r="F85" s="290"/>
      <c r="G85" s="290"/>
    </row>
    <row r="86" spans="1:7" ht="40.5" customHeight="1">
      <c r="A86" s="708" t="s">
        <v>145</v>
      </c>
      <c r="B86" s="709"/>
      <c r="C86" s="714">
        <f>E86+F86+G86</f>
        <v>62.48079</v>
      </c>
      <c r="D86" s="715"/>
      <c r="E86" s="290">
        <v>62.48079</v>
      </c>
      <c r="F86" s="290"/>
      <c r="G86" s="290"/>
    </row>
    <row r="87" spans="1:7" ht="12.75">
      <c r="A87" s="708" t="s">
        <v>89</v>
      </c>
      <c r="B87" s="709"/>
      <c r="C87" s="714">
        <f>51.32+E87+F87+G87</f>
        <v>51.32</v>
      </c>
      <c r="D87" s="715"/>
      <c r="E87" s="290"/>
      <c r="F87" s="290"/>
      <c r="G87" s="290"/>
    </row>
    <row r="88" spans="1:7" ht="12.75">
      <c r="A88" s="708" t="s">
        <v>135</v>
      </c>
      <c r="B88" s="709"/>
      <c r="C88" s="714">
        <f>205.002+E88+F88+G88</f>
        <v>218.35056</v>
      </c>
      <c r="D88" s="715"/>
      <c r="E88" s="290">
        <v>13.34856</v>
      </c>
      <c r="F88" s="290"/>
      <c r="G88" s="290"/>
    </row>
    <row r="89" spans="1:7" ht="51.75" customHeight="1">
      <c r="A89" s="708" t="s">
        <v>136</v>
      </c>
      <c r="B89" s="709"/>
      <c r="C89" s="714">
        <f>307.455+E89+F89+G89</f>
        <v>307.455</v>
      </c>
      <c r="D89" s="715"/>
      <c r="E89" s="290"/>
      <c r="F89" s="290"/>
      <c r="G89" s="290"/>
    </row>
    <row r="90" spans="1:7" ht="53.25" customHeight="1">
      <c r="A90" s="708" t="s">
        <v>390</v>
      </c>
      <c r="B90" s="709"/>
      <c r="C90" s="714">
        <f>25.2+E90+F90+G90</f>
        <v>37.800000000000004</v>
      </c>
      <c r="D90" s="715"/>
      <c r="E90" s="290">
        <v>4.2</v>
      </c>
      <c r="F90" s="290">
        <v>4.2</v>
      </c>
      <c r="G90" s="290">
        <v>4.2</v>
      </c>
    </row>
    <row r="91" spans="1:7" ht="27" customHeight="1">
      <c r="A91" s="708" t="s">
        <v>134</v>
      </c>
      <c r="B91" s="709"/>
      <c r="C91" s="714">
        <f>2.0874+E91+F91+G91</f>
        <v>57.179500000000004</v>
      </c>
      <c r="D91" s="715"/>
      <c r="E91" s="290">
        <v>55.0921</v>
      </c>
      <c r="F91" s="290"/>
      <c r="G91" s="290"/>
    </row>
    <row r="92" spans="1:7" ht="39" customHeight="1">
      <c r="A92" s="730" t="s">
        <v>361</v>
      </c>
      <c r="B92" s="730"/>
      <c r="C92" s="714">
        <f>63.7787+E92+F92+G92</f>
        <v>163.401</v>
      </c>
      <c r="D92" s="715"/>
      <c r="E92" s="290">
        <v>99.6223</v>
      </c>
      <c r="F92" s="290"/>
      <c r="G92" s="290"/>
    </row>
    <row r="93" spans="1:7" ht="39" customHeight="1">
      <c r="A93" s="730" t="s">
        <v>447</v>
      </c>
      <c r="B93" s="730"/>
      <c r="C93" s="722">
        <f>E93+F93+G93</f>
        <v>0</v>
      </c>
      <c r="D93" s="723"/>
      <c r="E93" s="290"/>
      <c r="F93" s="290"/>
      <c r="G93" s="290"/>
    </row>
    <row r="94" spans="1:7" ht="28.5" customHeight="1">
      <c r="A94" s="724" t="s">
        <v>355</v>
      </c>
      <c r="B94" s="724"/>
      <c r="C94" s="724"/>
      <c r="D94" s="724"/>
      <c r="E94" s="724"/>
      <c r="F94" s="724"/>
      <c r="G94" s="725"/>
    </row>
    <row r="95" spans="1:7" ht="39.75" customHeight="1">
      <c r="A95" s="735" t="s">
        <v>145</v>
      </c>
      <c r="B95" s="709"/>
      <c r="C95" s="714">
        <v>45.09349</v>
      </c>
      <c r="D95" s="715"/>
      <c r="E95" s="290"/>
      <c r="F95" s="290"/>
      <c r="G95" s="290"/>
    </row>
    <row r="96" spans="1:7" ht="12.75">
      <c r="A96" s="541" t="s">
        <v>356</v>
      </c>
      <c r="B96" s="542"/>
      <c r="C96" s="542"/>
      <c r="D96" s="542"/>
      <c r="E96" s="542"/>
      <c r="F96" s="542"/>
      <c r="G96" s="542"/>
    </row>
    <row r="97" spans="1:7" ht="49.5" customHeight="1" hidden="1">
      <c r="A97" s="735" t="s">
        <v>357</v>
      </c>
      <c r="B97" s="709"/>
      <c r="C97" s="722">
        <f>E97+F97+G97</f>
        <v>0</v>
      </c>
      <c r="D97" s="723"/>
      <c r="E97" s="290"/>
      <c r="F97" s="290"/>
      <c r="G97" s="290"/>
    </row>
    <row r="98" spans="1:7" ht="12.75" customHeight="1">
      <c r="A98" s="735" t="s">
        <v>358</v>
      </c>
      <c r="B98" s="709"/>
      <c r="C98" s="714">
        <v>37.81</v>
      </c>
      <c r="D98" s="715"/>
      <c r="E98" s="290"/>
      <c r="F98" s="290"/>
      <c r="G98" s="290"/>
    </row>
    <row r="99" spans="1:7" ht="25.5" customHeight="1">
      <c r="A99" s="735" t="s">
        <v>359</v>
      </c>
      <c r="B99" s="709"/>
      <c r="C99" s="714">
        <v>30.29935</v>
      </c>
      <c r="D99" s="715"/>
      <c r="E99" s="290"/>
      <c r="F99" s="290"/>
      <c r="G99" s="290"/>
    </row>
    <row r="100" spans="1:7" ht="48.75" customHeight="1">
      <c r="A100" s="731" t="s">
        <v>360</v>
      </c>
      <c r="B100" s="732"/>
      <c r="C100" s="714">
        <v>54.19</v>
      </c>
      <c r="D100" s="715"/>
      <c r="E100" s="290"/>
      <c r="F100" s="290"/>
      <c r="G100" s="290"/>
    </row>
    <row r="102" spans="5:7" ht="12.75">
      <c r="E102" s="289"/>
      <c r="F102" s="289"/>
      <c r="G102" s="289"/>
    </row>
    <row r="103" spans="1:7" ht="15">
      <c r="A103" s="280" t="s">
        <v>391</v>
      </c>
      <c r="B103" s="280"/>
      <c r="C103" s="280"/>
      <c r="D103" s="293"/>
      <c r="E103" s="280"/>
      <c r="F103" s="280"/>
      <c r="G103" s="293"/>
    </row>
    <row r="104" spans="1:7" ht="15" hidden="1">
      <c r="A104" s="280"/>
      <c r="B104" s="280"/>
      <c r="C104" s="280"/>
      <c r="D104" s="293"/>
      <c r="E104" s="280"/>
      <c r="F104" s="280"/>
      <c r="G104" s="293"/>
    </row>
    <row r="105" spans="1:7" ht="15">
      <c r="A105" s="280" t="s">
        <v>392</v>
      </c>
      <c r="B105" s="280"/>
      <c r="C105" s="280"/>
      <c r="D105" s="280"/>
      <c r="E105" s="280"/>
      <c r="F105" s="280"/>
      <c r="G105" s="293"/>
    </row>
    <row r="106" s="243" customFormat="1" ht="15.75" customHeight="1">
      <c r="E106" s="294"/>
    </row>
    <row r="107" spans="1:6" s="243" customFormat="1" ht="40.5" customHeight="1">
      <c r="A107" s="704" t="s">
        <v>393</v>
      </c>
      <c r="B107" s="704" t="s">
        <v>83</v>
      </c>
      <c r="C107" s="726" t="s">
        <v>394</v>
      </c>
      <c r="D107" s="727"/>
      <c r="E107" s="734" t="s">
        <v>395</v>
      </c>
      <c r="F107" s="734"/>
    </row>
    <row r="108" spans="1:7" ht="12.75">
      <c r="A108" s="704"/>
      <c r="B108" s="704"/>
      <c r="C108" s="728"/>
      <c r="D108" s="729"/>
      <c r="E108" s="734"/>
      <c r="F108" s="734"/>
      <c r="G108" s="243"/>
    </row>
    <row r="109" spans="1:7" ht="12.75">
      <c r="A109" s="295"/>
      <c r="B109" s="53" t="s">
        <v>396</v>
      </c>
      <c r="C109" s="705" t="s">
        <v>396</v>
      </c>
      <c r="D109" s="707"/>
      <c r="E109" s="733"/>
      <c r="F109" s="733"/>
      <c r="G109" s="243"/>
    </row>
    <row r="110" spans="1:7" ht="12.75">
      <c r="A110" s="295"/>
      <c r="B110" s="53"/>
      <c r="C110" s="705"/>
      <c r="D110" s="707"/>
      <c r="E110" s="733"/>
      <c r="F110" s="733"/>
      <c r="G110" s="243"/>
    </row>
    <row r="111" spans="1:7" s="280" customFormat="1" ht="15">
      <c r="A111" s="295"/>
      <c r="B111" s="53"/>
      <c r="C111" s="705"/>
      <c r="D111" s="707"/>
      <c r="E111" s="733"/>
      <c r="F111" s="733"/>
      <c r="G111" s="243"/>
    </row>
    <row r="112" ht="15">
      <c r="E112" s="296"/>
    </row>
    <row r="113" spans="1:7" s="243" customFormat="1" ht="15">
      <c r="A113" s="271"/>
      <c r="B113" s="271"/>
      <c r="C113" s="271"/>
      <c r="D113" s="271"/>
      <c r="E113" s="296"/>
      <c r="F113" s="271"/>
      <c r="G113" s="271"/>
    </row>
    <row r="114" spans="1:7" s="243" customFormat="1" ht="42" customHeight="1">
      <c r="A114" s="280" t="s">
        <v>397</v>
      </c>
      <c r="B114" s="280"/>
      <c r="C114" s="280"/>
      <c r="D114" s="280"/>
      <c r="E114" s="294"/>
      <c r="F114" s="280"/>
      <c r="G114" s="280"/>
    </row>
    <row r="115" ht="15">
      <c r="E115" s="296"/>
    </row>
    <row r="116" spans="1:7" s="304" customFormat="1" ht="13.5" customHeight="1">
      <c r="A116" s="704" t="s">
        <v>393</v>
      </c>
      <c r="B116" s="704" t="s">
        <v>83</v>
      </c>
      <c r="C116" s="726" t="s">
        <v>398</v>
      </c>
      <c r="D116" s="727"/>
      <c r="E116" s="734" t="s">
        <v>399</v>
      </c>
      <c r="F116" s="734"/>
      <c r="G116" s="271"/>
    </row>
    <row r="117" spans="1:7" s="304" customFormat="1" ht="15">
      <c r="A117" s="704"/>
      <c r="B117" s="704"/>
      <c r="C117" s="728"/>
      <c r="D117" s="729"/>
      <c r="E117" s="734"/>
      <c r="F117" s="734"/>
      <c r="G117" s="271"/>
    </row>
    <row r="118" spans="1:7" s="243" customFormat="1" ht="12.75">
      <c r="A118" s="295"/>
      <c r="B118" s="53" t="s">
        <v>396</v>
      </c>
      <c r="C118" s="705" t="s">
        <v>396</v>
      </c>
      <c r="D118" s="707"/>
      <c r="E118" s="733"/>
      <c r="F118" s="733"/>
      <c r="G118" s="271"/>
    </row>
    <row r="119" spans="1:7" s="243" customFormat="1" ht="12.75">
      <c r="A119" s="295"/>
      <c r="B119" s="53"/>
      <c r="C119" s="705"/>
      <c r="D119" s="707"/>
      <c r="E119" s="733"/>
      <c r="F119" s="733"/>
      <c r="G119" s="271"/>
    </row>
    <row r="120" spans="1:7" s="297" customFormat="1" ht="17.25" customHeight="1">
      <c r="A120" s="295"/>
      <c r="B120" s="53"/>
      <c r="C120" s="705"/>
      <c r="D120" s="707"/>
      <c r="E120" s="733"/>
      <c r="F120" s="733"/>
      <c r="G120" s="271"/>
    </row>
    <row r="121" ht="15">
      <c r="E121" s="296"/>
    </row>
    <row r="122" ht="15">
      <c r="E122" s="296"/>
    </row>
    <row r="123" spans="1:7" ht="17.25" customHeight="1">
      <c r="A123" s="280" t="s">
        <v>400</v>
      </c>
      <c r="B123" s="280"/>
      <c r="C123" s="297"/>
      <c r="D123" s="297"/>
      <c r="E123" s="296"/>
      <c r="F123" s="297"/>
      <c r="G123" s="297"/>
    </row>
    <row r="124" ht="17.25" customHeight="1">
      <c r="E124" s="296"/>
    </row>
    <row r="125" spans="1:7" ht="12.75">
      <c r="A125" s="704" t="s">
        <v>393</v>
      </c>
      <c r="B125" s="704" t="s">
        <v>401</v>
      </c>
      <c r="C125" s="704" t="s">
        <v>66</v>
      </c>
      <c r="D125" s="704" t="s">
        <v>55</v>
      </c>
      <c r="E125" s="734" t="s">
        <v>56</v>
      </c>
      <c r="F125" s="740" t="s">
        <v>402</v>
      </c>
      <c r="G125" s="243"/>
    </row>
    <row r="126" spans="1:7" ht="12.75" hidden="1">
      <c r="A126" s="704"/>
      <c r="B126" s="704"/>
      <c r="C126" s="704"/>
      <c r="D126" s="704"/>
      <c r="E126" s="734"/>
      <c r="F126" s="740"/>
      <c r="G126" s="243"/>
    </row>
    <row r="127" spans="1:7" ht="12.75">
      <c r="A127" s="295">
        <v>1</v>
      </c>
      <c r="B127" s="246" t="s">
        <v>403</v>
      </c>
      <c r="C127" s="242"/>
      <c r="D127" s="298" t="s">
        <v>120</v>
      </c>
      <c r="E127" s="298"/>
      <c r="F127" s="295" t="s">
        <v>396</v>
      </c>
      <c r="G127" s="243"/>
    </row>
    <row r="128" spans="1:7" s="243" customFormat="1" ht="36" customHeight="1">
      <c r="A128" s="295">
        <v>2</v>
      </c>
      <c r="B128" s="230" t="s">
        <v>404</v>
      </c>
      <c r="C128" s="242"/>
      <c r="D128" s="295" t="s">
        <v>405</v>
      </c>
      <c r="E128" s="295"/>
      <c r="F128" s="284"/>
      <c r="G128" s="271"/>
    </row>
    <row r="129" spans="1:6" ht="38.25">
      <c r="A129" s="295">
        <v>3</v>
      </c>
      <c r="B129" s="230" t="s">
        <v>406</v>
      </c>
      <c r="C129" s="242"/>
      <c r="D129" s="295" t="s">
        <v>120</v>
      </c>
      <c r="E129" s="295"/>
      <c r="F129" s="284"/>
    </row>
    <row r="130" spans="1:6" ht="25.5">
      <c r="A130" s="295">
        <v>4</v>
      </c>
      <c r="B130" s="230" t="s">
        <v>408</v>
      </c>
      <c r="C130" s="242"/>
      <c r="D130" s="295" t="s">
        <v>120</v>
      </c>
      <c r="E130" s="295"/>
      <c r="F130" s="284"/>
    </row>
    <row r="131" spans="1:6" ht="27.75" customHeight="1">
      <c r="A131" s="295">
        <v>7</v>
      </c>
      <c r="B131" s="230" t="s">
        <v>409</v>
      </c>
      <c r="C131" s="299"/>
      <c r="D131" s="284"/>
      <c r="E131" s="284"/>
      <c r="F131" s="284"/>
    </row>
    <row r="132" spans="1:6" ht="15.75" customHeight="1">
      <c r="A132" s="295">
        <v>5</v>
      </c>
      <c r="B132" s="230" t="s">
        <v>410</v>
      </c>
      <c r="C132" s="242"/>
      <c r="D132" s="298" t="s">
        <v>411</v>
      </c>
      <c r="E132" s="298"/>
      <c r="F132" s="284"/>
    </row>
    <row r="133" spans="1:7" ht="25.5">
      <c r="A133" s="295">
        <v>6</v>
      </c>
      <c r="B133" s="230" t="s">
        <v>412</v>
      </c>
      <c r="C133" s="242"/>
      <c r="D133" s="295" t="s">
        <v>413</v>
      </c>
      <c r="E133" s="295"/>
      <c r="F133" s="295"/>
      <c r="G133" s="243"/>
    </row>
    <row r="134" spans="1:7" ht="38.25">
      <c r="A134" s="295">
        <v>7</v>
      </c>
      <c r="B134" s="300" t="s">
        <v>414</v>
      </c>
      <c r="C134" s="242"/>
      <c r="D134" s="282" t="s">
        <v>415</v>
      </c>
      <c r="E134" s="282"/>
      <c r="F134" s="295"/>
      <c r="G134" s="243"/>
    </row>
    <row r="135" spans="1:7" s="280" customFormat="1" ht="27.75" customHeight="1">
      <c r="A135" s="301"/>
      <c r="B135" s="302"/>
      <c r="C135" s="303"/>
      <c r="D135" s="303"/>
      <c r="E135" s="303"/>
      <c r="F135" s="271"/>
      <c r="G135" s="271"/>
    </row>
    <row r="136" spans="1:5" ht="12.75">
      <c r="A136" s="301"/>
      <c r="B136" s="302"/>
      <c r="C136" s="303"/>
      <c r="D136" s="303"/>
      <c r="E136" s="303"/>
    </row>
    <row r="137" spans="1:5" ht="12.75">
      <c r="A137" s="301"/>
      <c r="B137" s="302"/>
      <c r="C137" s="303"/>
      <c r="D137" s="303"/>
      <c r="E137" s="303"/>
    </row>
    <row r="138" spans="1:7" ht="16.5" customHeight="1">
      <c r="A138" s="280" t="s">
        <v>416</v>
      </c>
      <c r="B138" s="280"/>
      <c r="C138" s="280"/>
      <c r="D138" s="280"/>
      <c r="E138" s="280"/>
      <c r="F138" s="280"/>
      <c r="G138" s="280"/>
    </row>
    <row r="139" ht="15.75" customHeight="1"/>
    <row r="140" spans="1:7" ht="51">
      <c r="A140" s="738" t="s">
        <v>417</v>
      </c>
      <c r="B140" s="738"/>
      <c r="C140" s="282" t="s">
        <v>71</v>
      </c>
      <c r="D140" s="702" t="s">
        <v>418</v>
      </c>
      <c r="E140" s="703"/>
      <c r="F140" s="282" t="s">
        <v>419</v>
      </c>
      <c r="G140" s="243"/>
    </row>
    <row r="141" spans="1:7" ht="39" customHeight="1">
      <c r="A141" s="741" t="s">
        <v>112</v>
      </c>
      <c r="B141" s="741"/>
      <c r="C141" s="282" t="s">
        <v>426</v>
      </c>
      <c r="D141" s="742">
        <f>C72+C81</f>
        <v>13334.74092</v>
      </c>
      <c r="E141" s="743"/>
      <c r="F141" s="295">
        <f>D31</f>
        <v>428</v>
      </c>
      <c r="G141" s="243"/>
    </row>
    <row r="143" spans="1:7" ht="15.75" thickBot="1">
      <c r="A143" s="304"/>
      <c r="B143" s="304"/>
      <c r="C143" s="304"/>
      <c r="D143" s="304"/>
      <c r="E143" s="304"/>
      <c r="F143" s="304"/>
      <c r="G143" s="304"/>
    </row>
    <row r="144" spans="1:7" ht="15">
      <c r="A144" s="305" t="s">
        <v>64</v>
      </c>
      <c r="B144" s="306" t="s">
        <v>420</v>
      </c>
      <c r="C144" s="304"/>
      <c r="D144" s="304"/>
      <c r="E144" s="304"/>
      <c r="F144" s="304"/>
      <c r="G144" s="304"/>
    </row>
    <row r="145" s="243" customFormat="1" ht="15">
      <c r="A145" s="280" t="s">
        <v>421</v>
      </c>
    </row>
    <row r="146" s="243" customFormat="1" ht="15">
      <c r="A146" s="280"/>
    </row>
    <row r="147" spans="1:7" s="243" customFormat="1" ht="15">
      <c r="A147" s="739" t="s">
        <v>422</v>
      </c>
      <c r="B147" s="739"/>
      <c r="C147" s="739"/>
      <c r="D147" s="739"/>
      <c r="E147" s="739"/>
      <c r="F147" s="739"/>
      <c r="G147" s="297"/>
    </row>
    <row r="148" ht="21" customHeight="1"/>
    <row r="149" spans="1:6" ht="16.5" customHeight="1">
      <c r="A149" s="307"/>
      <c r="B149" s="307" t="s">
        <v>441</v>
      </c>
      <c r="C149" s="307"/>
      <c r="D149" s="307"/>
      <c r="E149" s="307"/>
      <c r="F149" s="307"/>
    </row>
    <row r="150" spans="1:6" ht="12.75" customHeight="1">
      <c r="A150" s="308"/>
      <c r="B150" s="308"/>
      <c r="C150" s="308"/>
      <c r="D150" s="308"/>
      <c r="E150" s="308"/>
      <c r="F150" s="308"/>
    </row>
    <row r="151" spans="1:6" ht="12.75" customHeight="1">
      <c r="A151" s="308"/>
      <c r="B151" s="308"/>
      <c r="C151" s="308"/>
      <c r="D151" s="308"/>
      <c r="E151" s="308"/>
      <c r="F151" s="308"/>
    </row>
    <row r="152" spans="1:6" ht="12.75" customHeight="1">
      <c r="A152" s="303"/>
      <c r="B152" s="303"/>
      <c r="C152" s="303"/>
      <c r="D152" s="303"/>
      <c r="E152" s="303"/>
      <c r="F152" s="303"/>
    </row>
    <row r="153" ht="12" customHeight="1"/>
    <row r="154" ht="12" customHeight="1"/>
    <row r="155" spans="1:7" ht="13.5" customHeight="1">
      <c r="A155" s="739" t="s">
        <v>423</v>
      </c>
      <c r="B155" s="739"/>
      <c r="C155" s="739"/>
      <c r="D155" s="739"/>
      <c r="E155" s="739"/>
      <c r="F155" s="739"/>
      <c r="G155" s="243"/>
    </row>
    <row r="157" spans="1:6" ht="12.75">
      <c r="A157" s="307"/>
      <c r="B157" s="307" t="s">
        <v>442</v>
      </c>
      <c r="C157" s="307"/>
      <c r="D157" s="307"/>
      <c r="E157" s="307"/>
      <c r="F157" s="307"/>
    </row>
    <row r="158" spans="1:6" ht="12.75">
      <c r="A158" s="308"/>
      <c r="B158" s="308"/>
      <c r="C158" s="308"/>
      <c r="D158" s="308"/>
      <c r="E158" s="308"/>
      <c r="F158" s="308"/>
    </row>
    <row r="159" spans="1:6" ht="12.75">
      <c r="A159" s="308"/>
      <c r="B159" s="308"/>
      <c r="C159" s="308"/>
      <c r="D159" s="308"/>
      <c r="E159" s="308"/>
      <c r="F159" s="308"/>
    </row>
    <row r="160" spans="1:5" ht="12.75">
      <c r="A160" s="303"/>
      <c r="B160" s="303"/>
      <c r="C160" s="303"/>
      <c r="D160" s="303"/>
      <c r="E160" s="303"/>
    </row>
    <row r="162" spans="1:7" ht="15">
      <c r="A162" s="280" t="s">
        <v>424</v>
      </c>
      <c r="B162" s="280"/>
      <c r="C162" s="280"/>
      <c r="D162" s="280"/>
      <c r="E162" s="280"/>
      <c r="F162" s="280"/>
      <c r="G162" s="280"/>
    </row>
    <row r="164" spans="1:6" ht="12.75">
      <c r="A164" s="309"/>
      <c r="B164" s="309" t="s">
        <v>443</v>
      </c>
      <c r="C164" s="309"/>
      <c r="D164" s="309"/>
      <c r="E164" s="309"/>
      <c r="F164" s="307"/>
    </row>
    <row r="165" spans="1:6" ht="12.75">
      <c r="A165" s="308"/>
      <c r="B165" s="308"/>
      <c r="C165" s="308"/>
      <c r="D165" s="308"/>
      <c r="E165" s="308"/>
      <c r="F165" s="308"/>
    </row>
    <row r="166" spans="1:6" ht="12.75">
      <c r="A166" s="308"/>
      <c r="B166" s="308"/>
      <c r="C166" s="308"/>
      <c r="D166" s="308"/>
      <c r="E166" s="308"/>
      <c r="F166" s="308"/>
    </row>
    <row r="167" spans="1:5" ht="12.75">
      <c r="A167" s="303"/>
      <c r="B167" s="303"/>
      <c r="C167" s="303"/>
      <c r="D167" s="303"/>
      <c r="E167" s="303"/>
    </row>
    <row r="168" spans="1:5" ht="12.75">
      <c r="A168" s="303"/>
      <c r="B168" s="303"/>
      <c r="C168" s="303"/>
      <c r="D168" s="303"/>
      <c r="E168" s="303"/>
    </row>
    <row r="169" spans="1:5" ht="12.75">
      <c r="A169" s="303"/>
      <c r="B169" s="303"/>
      <c r="C169" s="303"/>
      <c r="D169" s="303"/>
      <c r="E169" s="303"/>
    </row>
    <row r="172" spans="1:7" ht="16.5">
      <c r="A172" s="736" t="s">
        <v>464</v>
      </c>
      <c r="B172" s="736"/>
      <c r="C172" s="737"/>
      <c r="D172" s="737"/>
      <c r="E172" s="737"/>
      <c r="F172" s="310" t="s">
        <v>462</v>
      </c>
      <c r="G172" s="243"/>
    </row>
    <row r="173" spans="1:7" ht="16.5">
      <c r="A173" s="310"/>
      <c r="B173" s="311"/>
      <c r="C173" s="311"/>
      <c r="D173" s="311"/>
      <c r="E173" s="243"/>
      <c r="F173" s="243"/>
      <c r="G173" s="243"/>
    </row>
    <row r="174" spans="1:7" ht="16.5">
      <c r="A174" s="310"/>
      <c r="B174" s="281" t="s">
        <v>83</v>
      </c>
      <c r="C174" s="312" t="s">
        <v>482</v>
      </c>
      <c r="D174" s="281" t="s">
        <v>84</v>
      </c>
      <c r="E174" s="313"/>
      <c r="F174" s="243"/>
      <c r="G174" s="243"/>
    </row>
    <row r="175" spans="1:3" ht="16.5">
      <c r="A175" s="314"/>
      <c r="B175" s="315"/>
      <c r="C175" s="315"/>
    </row>
    <row r="176" spans="1:3" ht="16.5">
      <c r="A176" s="314"/>
      <c r="B176" s="315"/>
      <c r="C176" s="315"/>
    </row>
    <row r="177" spans="2:3" ht="15">
      <c r="B177" s="315"/>
      <c r="C177" s="315"/>
    </row>
    <row r="178" spans="2:3" ht="15">
      <c r="B178" s="315"/>
      <c r="C178" s="315"/>
    </row>
    <row r="179" spans="2:3" ht="15">
      <c r="B179" s="315"/>
      <c r="C179" s="315"/>
    </row>
    <row r="180" spans="2:3" ht="15">
      <c r="B180" s="315"/>
      <c r="C180" s="315"/>
    </row>
    <row r="181" ht="15">
      <c r="C181" s="315"/>
    </row>
    <row r="182" ht="15">
      <c r="C182" s="315"/>
    </row>
  </sheetData>
  <sheetProtection/>
  <mergeCells count="165">
    <mergeCell ref="A94:G94"/>
    <mergeCell ref="A91:B91"/>
    <mergeCell ref="C91:D91"/>
    <mergeCell ref="C92:D92"/>
    <mergeCell ref="A92:B92"/>
    <mergeCell ref="A85:B85"/>
    <mergeCell ref="C85:D85"/>
    <mergeCell ref="A87:B87"/>
    <mergeCell ref="C87:D87"/>
    <mergeCell ref="A89:B89"/>
    <mergeCell ref="A93:B93"/>
    <mergeCell ref="C93:D93"/>
    <mergeCell ref="C89:D89"/>
    <mergeCell ref="A90:B90"/>
    <mergeCell ref="C90:D90"/>
    <mergeCell ref="A77:B77"/>
    <mergeCell ref="C84:D84"/>
    <mergeCell ref="A84:B84"/>
    <mergeCell ref="C80:D80"/>
    <mergeCell ref="A79:B79"/>
    <mergeCell ref="C79:D79"/>
    <mergeCell ref="A83:B83"/>
    <mergeCell ref="C83:D83"/>
    <mergeCell ref="A81:B81"/>
    <mergeCell ref="C81:D81"/>
    <mergeCell ref="A82:B82"/>
    <mergeCell ref="C82:D82"/>
    <mergeCell ref="A74:B74"/>
    <mergeCell ref="C74:D74"/>
    <mergeCell ref="A76:B76"/>
    <mergeCell ref="C77:D77"/>
    <mergeCell ref="C76:D76"/>
    <mergeCell ref="C98:D98"/>
    <mergeCell ref="A98:B98"/>
    <mergeCell ref="A86:B86"/>
    <mergeCell ref="C86:D86"/>
    <mergeCell ref="A88:B88"/>
    <mergeCell ref="C88:D88"/>
    <mergeCell ref="A97:B97"/>
    <mergeCell ref="C97:D97"/>
    <mergeCell ref="A95:B95"/>
    <mergeCell ref="C95:D95"/>
    <mergeCell ref="A67:B67"/>
    <mergeCell ref="A68:B68"/>
    <mergeCell ref="A69:B69"/>
    <mergeCell ref="A71:G71"/>
    <mergeCell ref="A75:B75"/>
    <mergeCell ref="C75:D75"/>
    <mergeCell ref="A72:B72"/>
    <mergeCell ref="C72:D72"/>
    <mergeCell ref="A73:B73"/>
    <mergeCell ref="C73:D73"/>
    <mergeCell ref="A141:B141"/>
    <mergeCell ref="D141:E141"/>
    <mergeCell ref="C120:D120"/>
    <mergeCell ref="E120:F120"/>
    <mergeCell ref="A125:A126"/>
    <mergeCell ref="A147:F147"/>
    <mergeCell ref="A155:F155"/>
    <mergeCell ref="A78:B78"/>
    <mergeCell ref="C78:D78"/>
    <mergeCell ref="C99:D99"/>
    <mergeCell ref="A100:B100"/>
    <mergeCell ref="C100:D100"/>
    <mergeCell ref="A80:B80"/>
    <mergeCell ref="E125:E126"/>
    <mergeCell ref="F125:F126"/>
    <mergeCell ref="A65:B65"/>
    <mergeCell ref="C65:D65"/>
    <mergeCell ref="A63:B63"/>
    <mergeCell ref="C63:D63"/>
    <mergeCell ref="A172:B172"/>
    <mergeCell ref="C172:E172"/>
    <mergeCell ref="A96:G96"/>
    <mergeCell ref="A99:B99"/>
    <mergeCell ref="A140:B140"/>
    <mergeCell ref="D140:E140"/>
    <mergeCell ref="B125:B126"/>
    <mergeCell ref="C125:C126"/>
    <mergeCell ref="D125:D126"/>
    <mergeCell ref="C119:D119"/>
    <mergeCell ref="E119:F119"/>
    <mergeCell ref="C110:D110"/>
    <mergeCell ref="E110:F110"/>
    <mergeCell ref="C111:D111"/>
    <mergeCell ref="E111:F111"/>
    <mergeCell ref="C118:D118"/>
    <mergeCell ref="E118:F118"/>
    <mergeCell ref="E107:F108"/>
    <mergeCell ref="A116:A117"/>
    <mergeCell ref="B116:B117"/>
    <mergeCell ref="C116:D117"/>
    <mergeCell ref="E116:F117"/>
    <mergeCell ref="E109:F109"/>
    <mergeCell ref="A107:A108"/>
    <mergeCell ref="C109:D109"/>
    <mergeCell ref="B107:B108"/>
    <mergeCell ref="C107:D108"/>
    <mergeCell ref="C62:D62"/>
    <mergeCell ref="A60:B60"/>
    <mergeCell ref="C70:D70"/>
    <mergeCell ref="A62:B62"/>
    <mergeCell ref="C67:D67"/>
    <mergeCell ref="C68:D68"/>
    <mergeCell ref="C69:D69"/>
    <mergeCell ref="A66:G66"/>
    <mergeCell ref="A70:B70"/>
    <mergeCell ref="A64:G64"/>
    <mergeCell ref="C60:D60"/>
    <mergeCell ref="A59:B59"/>
    <mergeCell ref="C61:D61"/>
    <mergeCell ref="A61:B61"/>
    <mergeCell ref="C59:D59"/>
    <mergeCell ref="C58:D58"/>
    <mergeCell ref="A58:B58"/>
    <mergeCell ref="C52:D52"/>
    <mergeCell ref="A52:B52"/>
    <mergeCell ref="C57:D57"/>
    <mergeCell ref="A57:B57"/>
    <mergeCell ref="A54:B54"/>
    <mergeCell ref="C54:D54"/>
    <mergeCell ref="A55:B55"/>
    <mergeCell ref="C55:D55"/>
    <mergeCell ref="A56:B56"/>
    <mergeCell ref="C56:D56"/>
    <mergeCell ref="A48:B48"/>
    <mergeCell ref="C48:D48"/>
    <mergeCell ref="A53:B53"/>
    <mergeCell ref="C53:D53"/>
    <mergeCell ref="A49:B49"/>
    <mergeCell ref="C49:D49"/>
    <mergeCell ref="A50:B50"/>
    <mergeCell ref="C50:D50"/>
    <mergeCell ref="A51:B51"/>
    <mergeCell ref="C51:D51"/>
    <mergeCell ref="A47:B47"/>
    <mergeCell ref="C47:D47"/>
    <mergeCell ref="A45:B45"/>
    <mergeCell ref="C45:D45"/>
    <mergeCell ref="A46:B46"/>
    <mergeCell ref="C46:D46"/>
    <mergeCell ref="E40:G40"/>
    <mergeCell ref="A41:G41"/>
    <mergeCell ref="A33:B33"/>
    <mergeCell ref="A34:B34"/>
    <mergeCell ref="A29:B29"/>
    <mergeCell ref="A30:G30"/>
    <mergeCell ref="A31:B31"/>
    <mergeCell ref="A32:B32"/>
    <mergeCell ref="A40:B40"/>
    <mergeCell ref="C40:D40"/>
    <mergeCell ref="A27:B27"/>
    <mergeCell ref="A28:B28"/>
    <mergeCell ref="A43:B43"/>
    <mergeCell ref="C43:D43"/>
    <mergeCell ref="A44:B44"/>
    <mergeCell ref="C44:D44"/>
    <mergeCell ref="A42:B42"/>
    <mergeCell ref="C42:D42"/>
    <mergeCell ref="A13:G13"/>
    <mergeCell ref="A14:G14"/>
    <mergeCell ref="A24:B24"/>
    <mergeCell ref="E24:G24"/>
    <mergeCell ref="A25:G25"/>
    <mergeCell ref="A26:B26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95" r:id="rId1"/>
  <rowBreaks count="3" manualBreakCount="3">
    <brk id="34" max="6" man="1"/>
    <brk id="120" max="6" man="1"/>
    <brk id="14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S4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5"/>
  <cols>
    <col min="1" max="1" width="29.140625" style="240" customWidth="1"/>
    <col min="2" max="2" width="5.140625" style="240" customWidth="1"/>
    <col min="3" max="3" width="10.00390625" style="240" bestFit="1" customWidth="1"/>
    <col min="4" max="4" width="11.00390625" style="240" bestFit="1" customWidth="1"/>
    <col min="5" max="5" width="12.421875" style="240" customWidth="1"/>
    <col min="6" max="6" width="9.7109375" style="240" customWidth="1"/>
    <col min="7" max="9" width="11.00390625" style="240" bestFit="1" customWidth="1"/>
    <col min="10" max="10" width="9.8515625" style="240" customWidth="1"/>
    <col min="11" max="13" width="10.00390625" style="240" bestFit="1" customWidth="1"/>
    <col min="14" max="14" width="9.8515625" style="240" customWidth="1"/>
    <col min="15" max="15" width="8.8515625" style="240" customWidth="1"/>
    <col min="16" max="16" width="9.8515625" style="240" customWidth="1"/>
    <col min="17" max="18" width="9.7109375" style="240" customWidth="1"/>
    <col min="19" max="19" width="13.28125" style="245" customWidth="1"/>
    <col min="20" max="16384" width="9.00390625" style="240" customWidth="1"/>
  </cols>
  <sheetData>
    <row r="1" spans="1:19" s="232" customFormat="1" ht="12.75">
      <c r="A1" s="633" t="s">
        <v>477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</row>
    <row r="2" spans="1:19" s="232" customFormat="1" ht="12.75">
      <c r="A2" s="233"/>
      <c r="B2" s="634" t="s">
        <v>151</v>
      </c>
      <c r="C2" s="634" t="s">
        <v>152</v>
      </c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5"/>
      <c r="S2" s="234"/>
    </row>
    <row r="3" spans="1:19" s="232" customFormat="1" ht="12.75">
      <c r="A3" s="233"/>
      <c r="B3" s="634"/>
      <c r="C3" s="233">
        <v>1</v>
      </c>
      <c r="D3" s="233">
        <v>2</v>
      </c>
      <c r="E3" s="233">
        <v>3</v>
      </c>
      <c r="F3" s="235" t="s">
        <v>153</v>
      </c>
      <c r="G3" s="233">
        <v>4</v>
      </c>
      <c r="H3" s="233">
        <v>5</v>
      </c>
      <c r="I3" s="233">
        <v>6</v>
      </c>
      <c r="J3" s="235" t="s">
        <v>154</v>
      </c>
      <c r="K3" s="233">
        <v>7</v>
      </c>
      <c r="L3" s="233">
        <v>8</v>
      </c>
      <c r="M3" s="233">
        <v>9</v>
      </c>
      <c r="N3" s="235" t="s">
        <v>155</v>
      </c>
      <c r="O3" s="233">
        <v>10</v>
      </c>
      <c r="P3" s="233">
        <v>11</v>
      </c>
      <c r="Q3" s="233">
        <v>12</v>
      </c>
      <c r="R3" s="235" t="s">
        <v>156</v>
      </c>
      <c r="S3" s="236"/>
    </row>
    <row r="4" spans="1:19" ht="13.5">
      <c r="A4" s="744" t="s">
        <v>181</v>
      </c>
      <c r="B4" s="237">
        <v>211</v>
      </c>
      <c r="C4" s="238"/>
      <c r="D4" s="238"/>
      <c r="E4" s="238"/>
      <c r="F4" s="239">
        <f>SUM(C4:E4)</f>
        <v>0</v>
      </c>
      <c r="G4" s="238">
        <v>81063.53</v>
      </c>
      <c r="H4" s="238">
        <v>1765.12</v>
      </c>
      <c r="I4" s="238">
        <v>44131.35</v>
      </c>
      <c r="J4" s="239">
        <f>SUM(G4:I4)</f>
        <v>126960</v>
      </c>
      <c r="K4" s="238">
        <v>27015.19</v>
      </c>
      <c r="L4" s="238">
        <v>920</v>
      </c>
      <c r="M4" s="238">
        <v>10045.23</v>
      </c>
      <c r="N4" s="239">
        <f>SUM(K4:M4)</f>
        <v>37980.42</v>
      </c>
      <c r="O4" s="238"/>
      <c r="P4" s="238"/>
      <c r="Q4" s="238"/>
      <c r="R4" s="239">
        <f>SUM(O4:Q4)</f>
        <v>0</v>
      </c>
      <c r="S4" s="265">
        <f aca="true" t="shared" si="0" ref="S4:S41">R4+N4+J4+F4</f>
        <v>164940.41999999998</v>
      </c>
    </row>
    <row r="5" spans="1:19" ht="13.5">
      <c r="A5" s="745"/>
      <c r="B5" s="237">
        <v>213</v>
      </c>
      <c r="C5" s="238"/>
      <c r="D5" s="238"/>
      <c r="E5" s="238"/>
      <c r="F5" s="239">
        <f aca="true" t="shared" si="1" ref="F5:F42">SUM(C5:E5)</f>
        <v>0</v>
      </c>
      <c r="G5" s="238">
        <v>24352.57</v>
      </c>
      <c r="H5" s="238">
        <v>533.07</v>
      </c>
      <c r="I5" s="238">
        <v>13456.36</v>
      </c>
      <c r="J5" s="239">
        <f aca="true" t="shared" si="2" ref="J5:J34">SUM(G5:I5)</f>
        <v>38342</v>
      </c>
      <c r="K5" s="238">
        <v>4140.81</v>
      </c>
      <c r="L5" s="238">
        <v>1273</v>
      </c>
      <c r="M5" s="238">
        <v>5902.68</v>
      </c>
      <c r="N5" s="239">
        <f aca="true" t="shared" si="3" ref="N5:N34">SUM(K5:M5)</f>
        <v>11316.490000000002</v>
      </c>
      <c r="O5" s="238"/>
      <c r="P5" s="238"/>
      <c r="Q5" s="238"/>
      <c r="R5" s="239">
        <f aca="true" t="shared" si="4" ref="R5:R34">SUM(O5:Q5)</f>
        <v>0</v>
      </c>
      <c r="S5" s="265">
        <f t="shared" si="0"/>
        <v>49658.490000000005</v>
      </c>
    </row>
    <row r="6" spans="1:19" ht="13.5">
      <c r="A6" s="241" t="s">
        <v>157</v>
      </c>
      <c r="B6" s="237">
        <v>211</v>
      </c>
      <c r="C6" s="255">
        <v>342665</v>
      </c>
      <c r="D6" s="255">
        <v>856660.94</v>
      </c>
      <c r="E6" s="255">
        <v>856663.06</v>
      </c>
      <c r="F6" s="239">
        <f t="shared" si="1"/>
        <v>2055989</v>
      </c>
      <c r="G6" s="255">
        <v>1368294.1</v>
      </c>
      <c r="H6" s="255">
        <v>855285.94</v>
      </c>
      <c r="I6" s="255">
        <v>1631398.96</v>
      </c>
      <c r="J6" s="239">
        <f t="shared" si="2"/>
        <v>3854979</v>
      </c>
      <c r="K6" s="255">
        <v>329819.33</v>
      </c>
      <c r="L6" s="255">
        <v>323540.24</v>
      </c>
      <c r="M6" s="255">
        <v>643585.43</v>
      </c>
      <c r="N6" s="239">
        <f t="shared" si="3"/>
        <v>1296945</v>
      </c>
      <c r="O6" s="255"/>
      <c r="P6" s="255"/>
      <c r="Q6" s="255"/>
      <c r="R6" s="239">
        <f t="shared" si="4"/>
        <v>0</v>
      </c>
      <c r="S6" s="265">
        <f>R6+N6+J6+F6</f>
        <v>7207913</v>
      </c>
    </row>
    <row r="7" spans="1:19" s="243" customFormat="1" ht="76.5">
      <c r="A7" s="53" t="s">
        <v>179</v>
      </c>
      <c r="B7" s="242">
        <v>211</v>
      </c>
      <c r="C7" s="238">
        <v>233163</v>
      </c>
      <c r="D7" s="238">
        <v>582908</v>
      </c>
      <c r="E7" s="238">
        <v>582909</v>
      </c>
      <c r="F7" s="239">
        <f t="shared" si="1"/>
        <v>1398980</v>
      </c>
      <c r="G7" s="238">
        <v>932653</v>
      </c>
      <c r="H7" s="238">
        <v>620714.4</v>
      </c>
      <c r="I7" s="238">
        <v>500147</v>
      </c>
      <c r="J7" s="239">
        <f t="shared" si="2"/>
        <v>2053514.4</v>
      </c>
      <c r="K7" s="238">
        <v>52033</v>
      </c>
      <c r="L7" s="238">
        <v>95000</v>
      </c>
      <c r="M7" s="238">
        <v>377623.68</v>
      </c>
      <c r="N7" s="239">
        <f t="shared" si="3"/>
        <v>524656.6799999999</v>
      </c>
      <c r="O7" s="238"/>
      <c r="P7" s="238"/>
      <c r="Q7" s="238"/>
      <c r="R7" s="239">
        <f t="shared" si="4"/>
        <v>0</v>
      </c>
      <c r="S7" s="265">
        <f t="shared" si="0"/>
        <v>3977151.08</v>
      </c>
    </row>
    <row r="8" spans="1:19" ht="89.25">
      <c r="A8" s="53" t="s">
        <v>178</v>
      </c>
      <c r="B8" s="241">
        <v>211</v>
      </c>
      <c r="C8" s="233">
        <f>C6-C7</f>
        <v>109502</v>
      </c>
      <c r="D8" s="233">
        <f>D6-D7</f>
        <v>273752.93999999994</v>
      </c>
      <c r="E8" s="233">
        <f>E6-E7</f>
        <v>273754.06000000006</v>
      </c>
      <c r="F8" s="239">
        <f t="shared" si="1"/>
        <v>657009</v>
      </c>
      <c r="G8" s="233">
        <f>G6-G7</f>
        <v>435641.1000000001</v>
      </c>
      <c r="H8" s="233">
        <f>H6-H7</f>
        <v>234571.53999999992</v>
      </c>
      <c r="I8" s="233">
        <f>I6-I7</f>
        <v>1131251.96</v>
      </c>
      <c r="J8" s="239">
        <f t="shared" si="2"/>
        <v>1801464.6</v>
      </c>
      <c r="K8" s="233">
        <f>K6-K7</f>
        <v>277786.33</v>
      </c>
      <c r="L8" s="233">
        <f>L6-L7</f>
        <v>228540.24</v>
      </c>
      <c r="M8" s="233">
        <f>M6-M7</f>
        <v>265961.75000000006</v>
      </c>
      <c r="N8" s="239">
        <f t="shared" si="3"/>
        <v>772288.3200000001</v>
      </c>
      <c r="O8" s="233">
        <f>O6-O7</f>
        <v>0</v>
      </c>
      <c r="P8" s="233">
        <f>P6-P7</f>
        <v>0</v>
      </c>
      <c r="Q8" s="233">
        <f>Q6-Q7</f>
        <v>0</v>
      </c>
      <c r="R8" s="239">
        <f t="shared" si="4"/>
        <v>0</v>
      </c>
      <c r="S8" s="265">
        <f t="shared" si="0"/>
        <v>3230761.92</v>
      </c>
    </row>
    <row r="9" spans="1:19" ht="13.5">
      <c r="A9" s="241" t="s">
        <v>157</v>
      </c>
      <c r="B9" s="237">
        <v>213</v>
      </c>
      <c r="C9" s="255">
        <v>0</v>
      </c>
      <c r="D9" s="255">
        <v>257140.47</v>
      </c>
      <c r="E9" s="255">
        <v>260284.53</v>
      </c>
      <c r="F9" s="239">
        <f t="shared" si="1"/>
        <v>517425</v>
      </c>
      <c r="G9" s="255">
        <v>512681.78</v>
      </c>
      <c r="H9" s="255">
        <v>378731.18</v>
      </c>
      <c r="I9" s="255">
        <v>272792.04</v>
      </c>
      <c r="J9" s="239">
        <f t="shared" si="2"/>
        <v>1164205</v>
      </c>
      <c r="K9" s="255">
        <v>219814.67</v>
      </c>
      <c r="L9" s="255">
        <v>11070.75</v>
      </c>
      <c r="M9" s="255">
        <v>157183.58</v>
      </c>
      <c r="N9" s="239">
        <f t="shared" si="3"/>
        <v>388069</v>
      </c>
      <c r="O9" s="255"/>
      <c r="P9" s="255"/>
      <c r="Q9" s="255"/>
      <c r="R9" s="239">
        <f t="shared" si="4"/>
        <v>0</v>
      </c>
      <c r="S9" s="265">
        <f t="shared" si="0"/>
        <v>2069699</v>
      </c>
    </row>
    <row r="10" spans="1:19" ht="76.5">
      <c r="A10" s="53" t="s">
        <v>179</v>
      </c>
      <c r="B10" s="241">
        <v>213</v>
      </c>
      <c r="C10" s="233"/>
      <c r="D10" s="233">
        <v>176038</v>
      </c>
      <c r="E10" s="233">
        <v>176039</v>
      </c>
      <c r="F10" s="239">
        <f t="shared" si="1"/>
        <v>352077</v>
      </c>
      <c r="G10" s="233">
        <v>352078</v>
      </c>
      <c r="H10" s="233">
        <v>117040</v>
      </c>
      <c r="I10" s="233">
        <v>249460</v>
      </c>
      <c r="J10" s="239">
        <f t="shared" si="2"/>
        <v>718578</v>
      </c>
      <c r="K10" s="233">
        <v>9966</v>
      </c>
      <c r="L10" s="233">
        <v>5438</v>
      </c>
      <c r="M10" s="233">
        <v>40948</v>
      </c>
      <c r="N10" s="239">
        <f t="shared" si="3"/>
        <v>56352</v>
      </c>
      <c r="O10" s="233"/>
      <c r="P10" s="233"/>
      <c r="Q10" s="233"/>
      <c r="R10" s="239">
        <f t="shared" si="4"/>
        <v>0</v>
      </c>
      <c r="S10" s="265">
        <f t="shared" si="0"/>
        <v>1127007</v>
      </c>
    </row>
    <row r="11" spans="1:19" s="247" customFormat="1" ht="89.25">
      <c r="A11" s="53" t="s">
        <v>178</v>
      </c>
      <c r="B11" s="246">
        <v>213</v>
      </c>
      <c r="C11" s="233">
        <f>C9-C10</f>
        <v>0</v>
      </c>
      <c r="D11" s="233">
        <f>D9-D10</f>
        <v>81102.47</v>
      </c>
      <c r="E11" s="233">
        <f>E9-E10</f>
        <v>84245.53</v>
      </c>
      <c r="F11" s="239">
        <f t="shared" si="1"/>
        <v>165348</v>
      </c>
      <c r="G11" s="233">
        <f>G9-G10</f>
        <v>160603.78000000003</v>
      </c>
      <c r="H11" s="233">
        <f>H9-H10</f>
        <v>261691.18</v>
      </c>
      <c r="I11" s="233">
        <f>I9-I10</f>
        <v>23332.03999999998</v>
      </c>
      <c r="J11" s="239">
        <f t="shared" si="2"/>
        <v>445627</v>
      </c>
      <c r="K11" s="233">
        <f>K9-K10</f>
        <v>209848.67</v>
      </c>
      <c r="L11" s="233">
        <f>L9-L10</f>
        <v>5632.75</v>
      </c>
      <c r="M11" s="233">
        <f>M9-M10</f>
        <v>116235.57999999999</v>
      </c>
      <c r="N11" s="239">
        <f t="shared" si="3"/>
        <v>331717</v>
      </c>
      <c r="O11" s="233">
        <f>O9-O10</f>
        <v>0</v>
      </c>
      <c r="P11" s="233">
        <f>P9-P10</f>
        <v>0</v>
      </c>
      <c r="Q11" s="233">
        <f>Q9-Q10</f>
        <v>0</v>
      </c>
      <c r="R11" s="239">
        <f t="shared" si="4"/>
        <v>0</v>
      </c>
      <c r="S11" s="265">
        <f t="shared" si="0"/>
        <v>942692</v>
      </c>
    </row>
    <row r="12" spans="1:19" s="247" customFormat="1" ht="13.5">
      <c r="A12" s="53" t="s">
        <v>169</v>
      </c>
      <c r="B12" s="241">
        <v>310</v>
      </c>
      <c r="C12" s="233"/>
      <c r="D12" s="233"/>
      <c r="E12" s="233"/>
      <c r="F12" s="239">
        <f t="shared" si="1"/>
        <v>0</v>
      </c>
      <c r="G12" s="233">
        <v>32120</v>
      </c>
      <c r="H12" s="233">
        <v>27720</v>
      </c>
      <c r="I12" s="233"/>
      <c r="J12" s="239">
        <f t="shared" si="2"/>
        <v>59840</v>
      </c>
      <c r="K12" s="233"/>
      <c r="L12" s="233"/>
      <c r="M12" s="233"/>
      <c r="N12" s="239">
        <f t="shared" si="3"/>
        <v>0</v>
      </c>
      <c r="O12" s="233"/>
      <c r="P12" s="233"/>
      <c r="Q12" s="233"/>
      <c r="R12" s="239">
        <f t="shared" si="4"/>
        <v>0</v>
      </c>
      <c r="S12" s="265">
        <f t="shared" si="0"/>
        <v>59840</v>
      </c>
    </row>
    <row r="13" spans="1:19" s="247" customFormat="1" ht="25.5">
      <c r="A13" s="231" t="s">
        <v>170</v>
      </c>
      <c r="B13" s="241">
        <v>340</v>
      </c>
      <c r="C13" s="233"/>
      <c r="D13" s="233"/>
      <c r="E13" s="233"/>
      <c r="F13" s="239">
        <f t="shared" si="1"/>
        <v>0</v>
      </c>
      <c r="G13" s="233">
        <v>32222</v>
      </c>
      <c r="H13" s="233"/>
      <c r="I13" s="233"/>
      <c r="J13" s="239">
        <f t="shared" si="2"/>
        <v>32222</v>
      </c>
      <c r="K13" s="233"/>
      <c r="L13" s="233"/>
      <c r="M13" s="233"/>
      <c r="N13" s="239">
        <f t="shared" si="3"/>
        <v>0</v>
      </c>
      <c r="O13" s="233"/>
      <c r="P13" s="233"/>
      <c r="Q13" s="233"/>
      <c r="R13" s="239">
        <f t="shared" si="4"/>
        <v>0</v>
      </c>
      <c r="S13" s="265">
        <f t="shared" si="0"/>
        <v>32222</v>
      </c>
    </row>
    <row r="14" spans="1:19" s="247" customFormat="1" ht="13.5">
      <c r="A14" s="231" t="s">
        <v>343</v>
      </c>
      <c r="B14" s="241"/>
      <c r="C14" s="233">
        <f>C13+C12+C9+C6</f>
        <v>342665</v>
      </c>
      <c r="D14" s="233">
        <f>D13+D12+D9+D6</f>
        <v>1113801.41</v>
      </c>
      <c r="E14" s="233">
        <f>E13+E12+E9+E6</f>
        <v>1116947.59</v>
      </c>
      <c r="F14" s="239">
        <f t="shared" si="1"/>
        <v>2573414</v>
      </c>
      <c r="G14" s="233">
        <f>G13+G12+G9+G6</f>
        <v>1945317.8800000001</v>
      </c>
      <c r="H14" s="233">
        <f>H13+H12+H9+H6</f>
        <v>1261737.1199999999</v>
      </c>
      <c r="I14" s="233">
        <f>I13+I12+I9+I6</f>
        <v>1904191</v>
      </c>
      <c r="J14" s="239">
        <f t="shared" si="2"/>
        <v>5111246</v>
      </c>
      <c r="K14" s="233">
        <f>K13+K12+K9+K6</f>
        <v>549634</v>
      </c>
      <c r="L14" s="233">
        <f>L13+L12+L9+L6</f>
        <v>334610.99</v>
      </c>
      <c r="M14" s="233">
        <f>M13+M12+M9+M6</f>
        <v>800769.01</v>
      </c>
      <c r="N14" s="239">
        <f t="shared" si="3"/>
        <v>1685014</v>
      </c>
      <c r="O14" s="233">
        <f>O13+O12+O9+O6</f>
        <v>0</v>
      </c>
      <c r="P14" s="233">
        <f>P13+P12+P9+P6</f>
        <v>0</v>
      </c>
      <c r="Q14" s="233">
        <f>Q13+Q12+Q9+Q6</f>
        <v>0</v>
      </c>
      <c r="R14" s="239">
        <f t="shared" si="4"/>
        <v>0</v>
      </c>
      <c r="S14" s="265">
        <f t="shared" si="0"/>
        <v>9369674</v>
      </c>
    </row>
    <row r="15" spans="1:19" ht="13.5">
      <c r="A15" s="241" t="s">
        <v>158</v>
      </c>
      <c r="B15" s="237">
        <v>211</v>
      </c>
      <c r="C15" s="255">
        <v>40840</v>
      </c>
      <c r="D15" s="255">
        <v>102100.56</v>
      </c>
      <c r="E15" s="255">
        <v>102101.44</v>
      </c>
      <c r="F15" s="239">
        <f t="shared" si="1"/>
        <v>245042</v>
      </c>
      <c r="G15" s="255">
        <v>163129.23</v>
      </c>
      <c r="H15" s="255">
        <v>73699.7</v>
      </c>
      <c r="I15" s="255">
        <v>151155.07</v>
      </c>
      <c r="J15" s="239">
        <f t="shared" si="2"/>
        <v>387984</v>
      </c>
      <c r="K15" s="255">
        <v>116052.59</v>
      </c>
      <c r="L15" s="255">
        <v>27909.87</v>
      </c>
      <c r="M15" s="255">
        <v>79233.3</v>
      </c>
      <c r="N15" s="239">
        <f t="shared" si="3"/>
        <v>223195.76</v>
      </c>
      <c r="O15" s="255"/>
      <c r="P15" s="255"/>
      <c r="Q15" s="255"/>
      <c r="R15" s="239">
        <f t="shared" si="4"/>
        <v>0</v>
      </c>
      <c r="S15" s="265">
        <f t="shared" si="0"/>
        <v>856221.76</v>
      </c>
    </row>
    <row r="16" spans="1:19" s="243" customFormat="1" ht="76.5">
      <c r="A16" s="53" t="s">
        <v>179</v>
      </c>
      <c r="B16" s="242">
        <v>211</v>
      </c>
      <c r="C16" s="238">
        <v>18284</v>
      </c>
      <c r="D16" s="238">
        <v>45709</v>
      </c>
      <c r="E16" s="238">
        <v>45710</v>
      </c>
      <c r="F16" s="239">
        <f t="shared" si="1"/>
        <v>109703</v>
      </c>
      <c r="G16" s="238">
        <v>73134</v>
      </c>
      <c r="H16" s="238">
        <f>18284+30747</f>
        <v>49031</v>
      </c>
      <c r="I16" s="238">
        <v>69500</v>
      </c>
      <c r="J16" s="239">
        <f t="shared" si="2"/>
        <v>191665</v>
      </c>
      <c r="K16" s="238">
        <v>33320.2</v>
      </c>
      <c r="L16" s="238">
        <v>8470</v>
      </c>
      <c r="M16" s="238">
        <v>55781.34</v>
      </c>
      <c r="N16" s="239">
        <f t="shared" si="3"/>
        <v>97571.54</v>
      </c>
      <c r="O16" s="238"/>
      <c r="P16" s="238"/>
      <c r="Q16" s="238"/>
      <c r="R16" s="239">
        <f t="shared" si="4"/>
        <v>0</v>
      </c>
      <c r="S16" s="265">
        <f t="shared" si="0"/>
        <v>398939.54</v>
      </c>
    </row>
    <row r="17" spans="1:19" ht="89.25">
      <c r="A17" s="53" t="s">
        <v>178</v>
      </c>
      <c r="B17" s="241">
        <v>211</v>
      </c>
      <c r="C17" s="233">
        <f>C15-C16</f>
        <v>22556</v>
      </c>
      <c r="D17" s="233">
        <f>D15-D16</f>
        <v>56391.56</v>
      </c>
      <c r="E17" s="233">
        <f>E15-E16</f>
        <v>56391.44</v>
      </c>
      <c r="F17" s="239">
        <f t="shared" si="1"/>
        <v>135339</v>
      </c>
      <c r="G17" s="233">
        <f>G15-G16</f>
        <v>89995.23000000001</v>
      </c>
      <c r="H17" s="233">
        <f>H15-H16</f>
        <v>24668.699999999997</v>
      </c>
      <c r="I17" s="233">
        <f>I15-I16</f>
        <v>81655.07</v>
      </c>
      <c r="J17" s="239">
        <f t="shared" si="2"/>
        <v>196319</v>
      </c>
      <c r="K17" s="233">
        <f>K15-K16</f>
        <v>82732.39</v>
      </c>
      <c r="L17" s="233">
        <f>L15-L16</f>
        <v>19439.87</v>
      </c>
      <c r="M17" s="233">
        <f>M15-M16</f>
        <v>23451.960000000006</v>
      </c>
      <c r="N17" s="239">
        <f t="shared" si="3"/>
        <v>125624.22</v>
      </c>
      <c r="O17" s="233">
        <f>O15-O16</f>
        <v>0</v>
      </c>
      <c r="P17" s="233">
        <f>P15-P16</f>
        <v>0</v>
      </c>
      <c r="Q17" s="233">
        <f>Q15-Q16</f>
        <v>0</v>
      </c>
      <c r="R17" s="239">
        <f t="shared" si="4"/>
        <v>0</v>
      </c>
      <c r="S17" s="265">
        <f t="shared" si="0"/>
        <v>457282.22</v>
      </c>
    </row>
    <row r="18" spans="1:19" ht="13.5">
      <c r="A18" s="241" t="s">
        <v>158</v>
      </c>
      <c r="B18" s="237">
        <v>213</v>
      </c>
      <c r="C18" s="255">
        <v>56107.49</v>
      </c>
      <c r="D18" s="255">
        <v>30750.23</v>
      </c>
      <c r="E18" s="255">
        <v>30918.28</v>
      </c>
      <c r="F18" s="239">
        <f t="shared" si="1"/>
        <v>117776</v>
      </c>
      <c r="G18" s="255">
        <v>36803.83</v>
      </c>
      <c r="H18" s="255">
        <v>35532.35</v>
      </c>
      <c r="I18" s="255">
        <v>38897.89</v>
      </c>
      <c r="J18" s="239">
        <f t="shared" si="2"/>
        <v>111234.06999999999</v>
      </c>
      <c r="K18" s="255">
        <v>47096.7</v>
      </c>
      <c r="L18" s="255">
        <v>9086.63</v>
      </c>
      <c r="M18" s="255">
        <v>17589.6</v>
      </c>
      <c r="N18" s="239">
        <f t="shared" si="3"/>
        <v>73772.93</v>
      </c>
      <c r="O18" s="255"/>
      <c r="P18" s="255"/>
      <c r="Q18" s="255"/>
      <c r="R18" s="239">
        <f t="shared" si="4"/>
        <v>0</v>
      </c>
      <c r="S18" s="265">
        <f t="shared" si="0"/>
        <v>302783</v>
      </c>
    </row>
    <row r="19" spans="1:19" ht="76.5">
      <c r="A19" s="53" t="s">
        <v>179</v>
      </c>
      <c r="B19" s="242">
        <v>213</v>
      </c>
      <c r="C19" s="238">
        <v>13804</v>
      </c>
      <c r="D19" s="238">
        <v>13804</v>
      </c>
      <c r="E19" s="238">
        <v>13805</v>
      </c>
      <c r="F19" s="239">
        <f t="shared" si="1"/>
        <v>41413</v>
      </c>
      <c r="G19" s="238">
        <v>27608</v>
      </c>
      <c r="H19" s="238">
        <v>9286</v>
      </c>
      <c r="I19" s="238">
        <v>20989</v>
      </c>
      <c r="J19" s="239">
        <f t="shared" si="2"/>
        <v>57883</v>
      </c>
      <c r="K19" s="238">
        <v>6780</v>
      </c>
      <c r="L19" s="238">
        <v>1558</v>
      </c>
      <c r="M19" s="238">
        <v>9929</v>
      </c>
      <c r="N19" s="239">
        <f t="shared" si="3"/>
        <v>18267</v>
      </c>
      <c r="O19" s="238"/>
      <c r="P19" s="238"/>
      <c r="Q19" s="238"/>
      <c r="R19" s="239">
        <f t="shared" si="4"/>
        <v>0</v>
      </c>
      <c r="S19" s="265">
        <f t="shared" si="0"/>
        <v>117563</v>
      </c>
    </row>
    <row r="20" spans="1:19" s="243" customFormat="1" ht="89.25">
      <c r="A20" s="53" t="s">
        <v>178</v>
      </c>
      <c r="B20" s="241">
        <v>213</v>
      </c>
      <c r="C20" s="233">
        <f>C18-C19</f>
        <v>42303.49</v>
      </c>
      <c r="D20" s="233">
        <f>D18-D19</f>
        <v>16946.23</v>
      </c>
      <c r="E20" s="233">
        <f>E18-E19</f>
        <v>17113.28</v>
      </c>
      <c r="F20" s="239">
        <f t="shared" si="1"/>
        <v>76363</v>
      </c>
      <c r="G20" s="233">
        <f>G18-G19</f>
        <v>9195.830000000002</v>
      </c>
      <c r="H20" s="233">
        <f>H18-H19</f>
        <v>26246.35</v>
      </c>
      <c r="I20" s="233">
        <f>I18-I19</f>
        <v>17908.89</v>
      </c>
      <c r="J20" s="239">
        <f t="shared" si="2"/>
        <v>53351.07</v>
      </c>
      <c r="K20" s="233">
        <f>K18-K19</f>
        <v>40316.7</v>
      </c>
      <c r="L20" s="233">
        <f>L18-L19</f>
        <v>7528.629999999999</v>
      </c>
      <c r="M20" s="233">
        <f>M18-M19</f>
        <v>7660.5999999999985</v>
      </c>
      <c r="N20" s="239">
        <f t="shared" si="3"/>
        <v>55505.92999999999</v>
      </c>
      <c r="O20" s="233">
        <f>O18-O19</f>
        <v>0</v>
      </c>
      <c r="P20" s="233">
        <f>P18-P19</f>
        <v>0</v>
      </c>
      <c r="Q20" s="233">
        <f>Q18-Q19</f>
        <v>0</v>
      </c>
      <c r="R20" s="239">
        <f t="shared" si="4"/>
        <v>0</v>
      </c>
      <c r="S20" s="265">
        <f t="shared" si="0"/>
        <v>185220</v>
      </c>
    </row>
    <row r="21" spans="1:19" ht="25.5">
      <c r="A21" s="53" t="s">
        <v>159</v>
      </c>
      <c r="B21" s="241">
        <v>212</v>
      </c>
      <c r="C21" s="233">
        <v>0</v>
      </c>
      <c r="D21" s="233">
        <v>150</v>
      </c>
      <c r="E21" s="233">
        <v>150</v>
      </c>
      <c r="F21" s="239">
        <f t="shared" si="1"/>
        <v>300</v>
      </c>
      <c r="G21" s="233">
        <v>316.67</v>
      </c>
      <c r="H21" s="233"/>
      <c r="I21" s="233">
        <v>200</v>
      </c>
      <c r="J21" s="239">
        <f t="shared" si="2"/>
        <v>516.6700000000001</v>
      </c>
      <c r="K21" s="233">
        <v>200</v>
      </c>
      <c r="L21" s="233">
        <v>200</v>
      </c>
      <c r="M21" s="241">
        <v>200</v>
      </c>
      <c r="N21" s="239">
        <f t="shared" si="3"/>
        <v>600</v>
      </c>
      <c r="O21" s="233"/>
      <c r="P21" s="233"/>
      <c r="Q21" s="241"/>
      <c r="R21" s="239">
        <f t="shared" si="4"/>
        <v>0</v>
      </c>
      <c r="S21" s="265">
        <f t="shared" si="0"/>
        <v>1416.67</v>
      </c>
    </row>
    <row r="22" spans="1:19" ht="13.5">
      <c r="A22" s="53" t="s">
        <v>160</v>
      </c>
      <c r="B22" s="241">
        <v>221</v>
      </c>
      <c r="C22" s="233">
        <v>0</v>
      </c>
      <c r="D22" s="233">
        <v>109.73</v>
      </c>
      <c r="E22" s="233">
        <v>980</v>
      </c>
      <c r="F22" s="239">
        <f t="shared" si="1"/>
        <v>1089.73</v>
      </c>
      <c r="G22" s="233"/>
      <c r="H22" s="233">
        <v>158.04</v>
      </c>
      <c r="I22" s="233">
        <v>361.08</v>
      </c>
      <c r="J22" s="239">
        <f t="shared" si="2"/>
        <v>519.12</v>
      </c>
      <c r="K22" s="233">
        <v>360.84</v>
      </c>
      <c r="L22" s="233">
        <v>454.06</v>
      </c>
      <c r="M22" s="241">
        <v>390.82</v>
      </c>
      <c r="N22" s="239">
        <f t="shared" si="3"/>
        <v>1205.72</v>
      </c>
      <c r="O22" s="233"/>
      <c r="P22" s="233"/>
      <c r="Q22" s="241"/>
      <c r="R22" s="239">
        <f t="shared" si="4"/>
        <v>0</v>
      </c>
      <c r="S22" s="265">
        <f t="shared" si="0"/>
        <v>2814.57</v>
      </c>
    </row>
    <row r="23" spans="1:19" ht="13.5">
      <c r="A23" s="53" t="s">
        <v>161</v>
      </c>
      <c r="B23" s="241">
        <v>223</v>
      </c>
      <c r="C23" s="241">
        <v>160930.8</v>
      </c>
      <c r="D23" s="241">
        <v>167691.2</v>
      </c>
      <c r="E23" s="241">
        <v>197172.89</v>
      </c>
      <c r="F23" s="239">
        <f t="shared" si="1"/>
        <v>525794.89</v>
      </c>
      <c r="G23" s="241">
        <v>158369.15</v>
      </c>
      <c r="H23" s="241">
        <v>32788.99</v>
      </c>
      <c r="I23" s="241">
        <v>784.96</v>
      </c>
      <c r="J23" s="239">
        <f t="shared" si="2"/>
        <v>191943.09999999998</v>
      </c>
      <c r="K23" s="241">
        <v>93038.32</v>
      </c>
      <c r="L23" s="241">
        <v>1770</v>
      </c>
      <c r="M23" s="241">
        <v>8978.98</v>
      </c>
      <c r="N23" s="239">
        <f t="shared" si="3"/>
        <v>103787.3</v>
      </c>
      <c r="O23" s="241"/>
      <c r="P23" s="241"/>
      <c r="Q23" s="241"/>
      <c r="R23" s="239">
        <f t="shared" si="4"/>
        <v>0</v>
      </c>
      <c r="S23" s="265">
        <f t="shared" si="0"/>
        <v>821525.29</v>
      </c>
    </row>
    <row r="24" spans="1:19" ht="26.25">
      <c r="A24" s="230" t="s">
        <v>348</v>
      </c>
      <c r="B24" s="241">
        <v>225</v>
      </c>
      <c r="C24" s="241">
        <v>0</v>
      </c>
      <c r="D24" s="241">
        <v>9046.02</v>
      </c>
      <c r="E24" s="241">
        <v>10978.42</v>
      </c>
      <c r="F24" s="239">
        <f t="shared" si="1"/>
        <v>20024.440000000002</v>
      </c>
      <c r="G24" s="241">
        <v>10978.42</v>
      </c>
      <c r="H24" s="241">
        <v>10978.42</v>
      </c>
      <c r="I24" s="241"/>
      <c r="J24" s="239">
        <f t="shared" si="2"/>
        <v>21956.84</v>
      </c>
      <c r="K24" s="241">
        <v>21250.28</v>
      </c>
      <c r="L24" s="241">
        <v>29615.03</v>
      </c>
      <c r="M24" s="241">
        <v>20218.7</v>
      </c>
      <c r="N24" s="239">
        <f t="shared" si="3"/>
        <v>71084.01</v>
      </c>
      <c r="O24" s="241"/>
      <c r="P24" s="241"/>
      <c r="Q24" s="241"/>
      <c r="R24" s="239">
        <f t="shared" si="4"/>
        <v>0</v>
      </c>
      <c r="S24" s="265">
        <f t="shared" si="0"/>
        <v>113065.29</v>
      </c>
    </row>
    <row r="25" spans="1:19" ht="13.5">
      <c r="A25" s="53" t="s">
        <v>345</v>
      </c>
      <c r="B25" s="241">
        <v>226</v>
      </c>
      <c r="C25" s="241">
        <v>0</v>
      </c>
      <c r="D25" s="241">
        <v>2002.84</v>
      </c>
      <c r="E25" s="241">
        <v>1000.1</v>
      </c>
      <c r="F25" s="239">
        <f t="shared" si="1"/>
        <v>3002.94</v>
      </c>
      <c r="G25" s="241">
        <v>1000.1</v>
      </c>
      <c r="H25" s="241">
        <v>1000.1</v>
      </c>
      <c r="I25" s="241"/>
      <c r="J25" s="239">
        <f t="shared" si="2"/>
        <v>2000.2</v>
      </c>
      <c r="K25" s="241">
        <v>22010.2</v>
      </c>
      <c r="L25" s="241">
        <v>35059.41</v>
      </c>
      <c r="M25" s="241">
        <v>18520.99</v>
      </c>
      <c r="N25" s="239">
        <f t="shared" si="3"/>
        <v>75590.6</v>
      </c>
      <c r="O25" s="241"/>
      <c r="P25" s="241"/>
      <c r="Q25" s="241"/>
      <c r="R25" s="239">
        <f t="shared" si="4"/>
        <v>0</v>
      </c>
      <c r="S25" s="265">
        <f t="shared" si="0"/>
        <v>80593.74</v>
      </c>
    </row>
    <row r="26" spans="1:19" ht="13.5">
      <c r="A26" s="53" t="s">
        <v>346</v>
      </c>
      <c r="B26" s="241">
        <v>290</v>
      </c>
      <c r="C26" s="241">
        <v>0</v>
      </c>
      <c r="D26" s="241"/>
      <c r="E26" s="241"/>
      <c r="F26" s="239">
        <f t="shared" si="1"/>
        <v>0</v>
      </c>
      <c r="G26" s="241"/>
      <c r="H26" s="241"/>
      <c r="I26" s="241"/>
      <c r="J26" s="239">
        <f t="shared" si="2"/>
        <v>0</v>
      </c>
      <c r="K26" s="241"/>
      <c r="L26" s="241"/>
      <c r="M26" s="241">
        <v>3500</v>
      </c>
      <c r="N26" s="239">
        <f t="shared" si="3"/>
        <v>3500</v>
      </c>
      <c r="O26" s="241"/>
      <c r="P26" s="241"/>
      <c r="Q26" s="241"/>
      <c r="R26" s="239">
        <f t="shared" si="4"/>
        <v>0</v>
      </c>
      <c r="S26" s="265">
        <f t="shared" si="0"/>
        <v>3500</v>
      </c>
    </row>
    <row r="27" spans="1:19" ht="13.5">
      <c r="A27" s="53" t="s">
        <v>347</v>
      </c>
      <c r="B27" s="241">
        <v>290</v>
      </c>
      <c r="C27" s="241">
        <v>0</v>
      </c>
      <c r="D27" s="241">
        <v>129631</v>
      </c>
      <c r="E27" s="241">
        <v>33670</v>
      </c>
      <c r="F27" s="239">
        <f t="shared" si="1"/>
        <v>163301</v>
      </c>
      <c r="G27" s="241">
        <v>33905</v>
      </c>
      <c r="H27" s="241">
        <v>137228</v>
      </c>
      <c r="I27" s="241"/>
      <c r="J27" s="239">
        <f t="shared" si="2"/>
        <v>171133</v>
      </c>
      <c r="K27" s="241">
        <v>33907</v>
      </c>
      <c r="L27" s="241">
        <v>134827</v>
      </c>
      <c r="M27" s="241"/>
      <c r="N27" s="239">
        <f t="shared" si="3"/>
        <v>168734</v>
      </c>
      <c r="O27" s="241"/>
      <c r="P27" s="241"/>
      <c r="Q27" s="241"/>
      <c r="R27" s="239">
        <f t="shared" si="4"/>
        <v>0</v>
      </c>
      <c r="S27" s="265">
        <f t="shared" si="0"/>
        <v>503168</v>
      </c>
    </row>
    <row r="28" spans="1:19" ht="13.5">
      <c r="A28" s="53" t="s">
        <v>169</v>
      </c>
      <c r="B28" s="241">
        <v>310</v>
      </c>
      <c r="C28" s="233"/>
      <c r="D28" s="233"/>
      <c r="E28" s="233"/>
      <c r="F28" s="239">
        <f t="shared" si="1"/>
        <v>0</v>
      </c>
      <c r="G28" s="233"/>
      <c r="H28" s="233"/>
      <c r="I28" s="233"/>
      <c r="J28" s="239">
        <f t="shared" si="2"/>
        <v>0</v>
      </c>
      <c r="K28" s="233"/>
      <c r="L28" s="233"/>
      <c r="M28" s="241"/>
      <c r="N28" s="239">
        <f t="shared" si="3"/>
        <v>0</v>
      </c>
      <c r="O28" s="233"/>
      <c r="P28" s="233"/>
      <c r="Q28" s="241"/>
      <c r="R28" s="239">
        <f t="shared" si="4"/>
        <v>0</v>
      </c>
      <c r="S28" s="265">
        <f t="shared" si="0"/>
        <v>0</v>
      </c>
    </row>
    <row r="29" spans="1:19" ht="25.5">
      <c r="A29" s="231" t="s">
        <v>170</v>
      </c>
      <c r="B29" s="241">
        <v>340</v>
      </c>
      <c r="C29" s="233">
        <v>0</v>
      </c>
      <c r="D29" s="233">
        <v>0</v>
      </c>
      <c r="E29" s="233">
        <v>0</v>
      </c>
      <c r="F29" s="239">
        <f t="shared" si="1"/>
        <v>0</v>
      </c>
      <c r="G29" s="233"/>
      <c r="H29" s="233"/>
      <c r="I29" s="233"/>
      <c r="J29" s="239">
        <f t="shared" si="2"/>
        <v>0</v>
      </c>
      <c r="K29" s="233"/>
      <c r="L29" s="233"/>
      <c r="M29" s="241"/>
      <c r="N29" s="239">
        <f t="shared" si="3"/>
        <v>0</v>
      </c>
      <c r="O29" s="233"/>
      <c r="P29" s="233"/>
      <c r="Q29" s="241"/>
      <c r="R29" s="239"/>
      <c r="S29" s="265">
        <f t="shared" si="0"/>
        <v>0</v>
      </c>
    </row>
    <row r="30" spans="1:19" ht="13.5">
      <c r="A30" s="231" t="s">
        <v>344</v>
      </c>
      <c r="B30" s="241"/>
      <c r="C30" s="241">
        <f>C29+C28+C27+C26+C25+C24+C23+C22+C21+C18+C15</f>
        <v>257878.28999999998</v>
      </c>
      <c r="D30" s="241">
        <f>D29+D28+D27+D26+D25+D24+D23+D22+D21+D18+D15</f>
        <v>441481.57999999996</v>
      </c>
      <c r="E30" s="241">
        <f>E29+E28+E27+E26+E25+E24+E23+E22+E21+E18+E15</f>
        <v>376971.13</v>
      </c>
      <c r="F30" s="239">
        <f t="shared" si="1"/>
        <v>1076331</v>
      </c>
      <c r="G30" s="241">
        <f>G29+G28+G27+G26+G25+G24+G23+G22+G21+G18+G15</f>
        <v>404502.4</v>
      </c>
      <c r="H30" s="241">
        <f>H29+H28+H27+H26+H25+H24+H23+H22+H21+H18+H15</f>
        <v>291385.60000000003</v>
      </c>
      <c r="I30" s="241">
        <f>I29+I28+I27+I26+I25+I24+I23+I22+I21+I18+I15</f>
        <v>191399</v>
      </c>
      <c r="J30" s="239">
        <f t="shared" si="2"/>
        <v>887287</v>
      </c>
      <c r="K30" s="241">
        <f>K29+K28+K27+K26+K25+K24+K23+K22+K21+K18+K15</f>
        <v>333915.92999999993</v>
      </c>
      <c r="L30" s="241">
        <f>L29+L28+L27+L26+L25+L24+L23+L22+L21+L18+L15</f>
        <v>238922</v>
      </c>
      <c r="M30" s="241">
        <f>M29+M28+M27+M26+M25+M24+M23+M22+M21+M18+M15</f>
        <v>148632.39</v>
      </c>
      <c r="N30" s="239">
        <f t="shared" si="3"/>
        <v>721470.32</v>
      </c>
      <c r="O30" s="241">
        <f>O29+O28+O27+O26+O25+O24+O23+O22+O21+O18+O15</f>
        <v>0</v>
      </c>
      <c r="P30" s="241">
        <f>P29+P28+P27+P26+P25+P24+P23+P22+P21+P18+P15</f>
        <v>0</v>
      </c>
      <c r="Q30" s="241">
        <f>Q29+Q28+Q27+Q26+Q25+Q24+Q23+Q22+Q21+Q18+Q15</f>
        <v>0</v>
      </c>
      <c r="R30" s="239">
        <f t="shared" si="4"/>
        <v>0</v>
      </c>
      <c r="S30" s="265">
        <f t="shared" si="0"/>
        <v>2685088.32</v>
      </c>
    </row>
    <row r="31" spans="1:19" ht="13.5">
      <c r="A31" s="256" t="s">
        <v>349</v>
      </c>
      <c r="B31" s="257"/>
      <c r="C31" s="257">
        <f>C7+C10+C16+C19+C12+C13+C4+C5</f>
        <v>265251</v>
      </c>
      <c r="D31" s="257">
        <f>D7+D10+D16+D19+D12+D13+D4+D5</f>
        <v>818459</v>
      </c>
      <c r="E31" s="257">
        <f>E7+E10+E16+E19+E12+E13+E4+E5</f>
        <v>818463</v>
      </c>
      <c r="F31" s="264">
        <f t="shared" si="1"/>
        <v>1902173</v>
      </c>
      <c r="G31" s="257">
        <f>G7+G10+G16+G19+G12+G13+G4+G5</f>
        <v>1555231.1</v>
      </c>
      <c r="H31" s="257">
        <f>H7+H10+H16+H19+H12+H13+H4+H5</f>
        <v>826089.59</v>
      </c>
      <c r="I31" s="257">
        <f>I7+I10+I16+I19+I12+I13+I4+I5</f>
        <v>897683.71</v>
      </c>
      <c r="J31" s="264">
        <f t="shared" si="2"/>
        <v>3279004.4</v>
      </c>
      <c r="K31" s="257">
        <f>K7+K10+K16+K19+K12+K13+K4+K5</f>
        <v>133255.2</v>
      </c>
      <c r="L31" s="257">
        <f>L7+L10+L16+L19+L12+L13+L4+L5</f>
        <v>112659</v>
      </c>
      <c r="M31" s="257">
        <f>M7+M10+M16+M19+M12+M13+M4+M5</f>
        <v>500229.93</v>
      </c>
      <c r="N31" s="264">
        <f t="shared" si="3"/>
        <v>746144.13</v>
      </c>
      <c r="O31" s="257">
        <f>O7+O10+O16+O19+O12+O13+O4+O5</f>
        <v>0</v>
      </c>
      <c r="P31" s="257">
        <f>P7+P10+P16+P19+P12+P13+P4+P5</f>
        <v>0</v>
      </c>
      <c r="Q31" s="257">
        <f>Q7+Q10+Q16+Q19+Q12+Q13+Q4+Q5</f>
        <v>0</v>
      </c>
      <c r="R31" s="264">
        <f t="shared" si="4"/>
        <v>0</v>
      </c>
      <c r="S31" s="266">
        <f t="shared" si="0"/>
        <v>5927321.529999999</v>
      </c>
    </row>
    <row r="32" spans="1:19" ht="13.5">
      <c r="A32" s="240" t="s">
        <v>171</v>
      </c>
      <c r="B32" s="249"/>
      <c r="C32" s="249">
        <f>C7+C10+C12+C13</f>
        <v>233163</v>
      </c>
      <c r="D32" s="249">
        <f>D7+D10+D12+D13</f>
        <v>758946</v>
      </c>
      <c r="E32" s="249">
        <f>E7+E10+E12+E13</f>
        <v>758948</v>
      </c>
      <c r="F32" s="239">
        <f t="shared" si="1"/>
        <v>1751057</v>
      </c>
      <c r="G32" s="249">
        <f>G7+G10+G12+G13</f>
        <v>1349073</v>
      </c>
      <c r="H32" s="249">
        <f>H7+H10+H12+H13</f>
        <v>765474.4</v>
      </c>
      <c r="I32" s="249">
        <f>I7+I10+I12+I13</f>
        <v>749607</v>
      </c>
      <c r="J32" s="239">
        <f t="shared" si="2"/>
        <v>2864154.4</v>
      </c>
      <c r="K32" s="249">
        <f>K7+K10+K12+K13</f>
        <v>61999</v>
      </c>
      <c r="L32" s="249">
        <f>L7+L10+L12+L13</f>
        <v>100438</v>
      </c>
      <c r="M32" s="249">
        <f>M7+M10+M12+M13</f>
        <v>418571.68</v>
      </c>
      <c r="N32" s="239">
        <f t="shared" si="3"/>
        <v>581008.6799999999</v>
      </c>
      <c r="O32" s="249">
        <f>O7+O10+O12+O13</f>
        <v>0</v>
      </c>
      <c r="P32" s="249">
        <f>P7+P10+P12+P13</f>
        <v>0</v>
      </c>
      <c r="Q32" s="249">
        <f>Q7+Q10+Q12+Q13</f>
        <v>0</v>
      </c>
      <c r="R32" s="239">
        <f t="shared" si="4"/>
        <v>0</v>
      </c>
      <c r="S32" s="265">
        <f t="shared" si="0"/>
        <v>5196220.08</v>
      </c>
    </row>
    <row r="33" spans="1:19" ht="13.5">
      <c r="A33" s="240" t="s">
        <v>350</v>
      </c>
      <c r="C33" s="240">
        <f>C4+C5</f>
        <v>0</v>
      </c>
      <c r="D33" s="240">
        <f>D4+D5</f>
        <v>0</v>
      </c>
      <c r="E33" s="240">
        <f>E4+E5</f>
        <v>0</v>
      </c>
      <c r="F33" s="239">
        <f t="shared" si="1"/>
        <v>0</v>
      </c>
      <c r="G33" s="240">
        <f>G4+G5</f>
        <v>105416.1</v>
      </c>
      <c r="H33" s="240">
        <f>H4+H5</f>
        <v>2298.19</v>
      </c>
      <c r="I33" s="240">
        <f>I4+I5</f>
        <v>57587.71</v>
      </c>
      <c r="J33" s="239">
        <f t="shared" si="2"/>
        <v>165302</v>
      </c>
      <c r="K33" s="240">
        <f>K4+K5</f>
        <v>31156</v>
      </c>
      <c r="L33" s="240">
        <f>L4+L5</f>
        <v>2193</v>
      </c>
      <c r="M33" s="240">
        <f>M4+M5</f>
        <v>15947.91</v>
      </c>
      <c r="N33" s="239">
        <f t="shared" si="3"/>
        <v>49296.91</v>
      </c>
      <c r="O33" s="240">
        <f>O4+O5</f>
        <v>0</v>
      </c>
      <c r="P33" s="240">
        <f>P4+P5</f>
        <v>0</v>
      </c>
      <c r="Q33" s="240">
        <f>Q4+Q5</f>
        <v>0</v>
      </c>
      <c r="R33" s="239">
        <f t="shared" si="4"/>
        <v>0</v>
      </c>
      <c r="S33" s="265">
        <f t="shared" si="0"/>
        <v>214598.91</v>
      </c>
    </row>
    <row r="34" spans="1:19" s="250" customFormat="1" ht="13.5">
      <c r="A34" s="240" t="s">
        <v>172</v>
      </c>
      <c r="B34" s="248"/>
      <c r="C34" s="249">
        <f>C16+C19</f>
        <v>32088</v>
      </c>
      <c r="D34" s="249">
        <f>D16+D19</f>
        <v>59513</v>
      </c>
      <c r="E34" s="249">
        <f>E16+E19</f>
        <v>59515</v>
      </c>
      <c r="F34" s="239">
        <f t="shared" si="1"/>
        <v>151116</v>
      </c>
      <c r="G34" s="249">
        <f>G16+G19</f>
        <v>100742</v>
      </c>
      <c r="H34" s="249">
        <f>H16+H19</f>
        <v>58317</v>
      </c>
      <c r="I34" s="249">
        <f>I16+I19</f>
        <v>90489</v>
      </c>
      <c r="J34" s="239">
        <f t="shared" si="2"/>
        <v>249548</v>
      </c>
      <c r="K34" s="249">
        <f>K16+K19</f>
        <v>40100.2</v>
      </c>
      <c r="L34" s="249">
        <f>L16+L19</f>
        <v>10028</v>
      </c>
      <c r="M34" s="249">
        <f>M16+M19</f>
        <v>65710.34</v>
      </c>
      <c r="N34" s="239">
        <f t="shared" si="3"/>
        <v>115838.54</v>
      </c>
      <c r="O34" s="249">
        <f>O16+O19</f>
        <v>0</v>
      </c>
      <c r="P34" s="249">
        <f>P16+P19</f>
        <v>0</v>
      </c>
      <c r="Q34" s="249">
        <f>Q16+Q19</f>
        <v>0</v>
      </c>
      <c r="R34" s="239">
        <f t="shared" si="4"/>
        <v>0</v>
      </c>
      <c r="S34" s="265">
        <f t="shared" si="0"/>
        <v>516502.54</v>
      </c>
    </row>
    <row r="35" spans="1:19" s="250" customFormat="1" ht="6" customHeight="1">
      <c r="A35" s="240"/>
      <c r="B35" s="248"/>
      <c r="C35" s="248"/>
      <c r="D35" s="248"/>
      <c r="E35" s="248"/>
      <c r="F35" s="241"/>
      <c r="G35" s="248"/>
      <c r="H35" s="248"/>
      <c r="I35" s="248"/>
      <c r="J35" s="241"/>
      <c r="K35" s="248"/>
      <c r="L35" s="248"/>
      <c r="M35" s="248"/>
      <c r="N35" s="241"/>
      <c r="O35" s="248"/>
      <c r="P35" s="248"/>
      <c r="Q35" s="248"/>
      <c r="R35" s="241"/>
      <c r="S35" s="267"/>
    </row>
    <row r="36" spans="1:19" ht="13.5">
      <c r="A36" s="256" t="s">
        <v>351</v>
      </c>
      <c r="B36" s="260"/>
      <c r="C36" s="260">
        <f>C8+C11+C17+C20+C21+C22+C23+C24+C25+C26+C28+C29</f>
        <v>335292.29</v>
      </c>
      <c r="D36" s="260">
        <f>D8+D11+D17+D20+D21+D22+D23+D24+D25+D26+D28+D29</f>
        <v>607192.9899999999</v>
      </c>
      <c r="E36" s="260">
        <f>E8+E11+E17+E20+E21+E22+E23+E24+E25+E26+E28+E29</f>
        <v>641785.7200000001</v>
      </c>
      <c r="F36" s="264">
        <f t="shared" si="1"/>
        <v>1584271</v>
      </c>
      <c r="G36" s="260">
        <f>G8+G11+G17+G20+G21+G22+G23+G24+G25+G26+G28+G29</f>
        <v>866100.2800000001</v>
      </c>
      <c r="H36" s="260">
        <f>H8+H11+H17+H20+H21+H22+H23+H24+H25+H26+H28+H29</f>
        <v>592103.32</v>
      </c>
      <c r="I36" s="260">
        <f>I8+I11+I17+I20+I21+I22+I23+I24+I25+I26+I28+I29</f>
        <v>1255494</v>
      </c>
      <c r="J36" s="264">
        <f>SUM(G36:I36)</f>
        <v>2713697.6</v>
      </c>
      <c r="K36" s="260">
        <f>K8+K11+K17+K20+K21+K22+K23+K24+K25+K26+K28+K29</f>
        <v>747543.73</v>
      </c>
      <c r="L36" s="260">
        <f>L8+L11+L17+L20+L21+L22+L23+L24+L25+L26+L28+L29</f>
        <v>328239.99</v>
      </c>
      <c r="M36" s="260">
        <f>M8+M11+M17+M20+M21+M22+M23+M24+M25+M26+M28+M29</f>
        <v>465119.38000000006</v>
      </c>
      <c r="N36" s="264">
        <f>SUM(K36:M36)</f>
        <v>1540903.1</v>
      </c>
      <c r="O36" s="260">
        <f>O8+O11+O17+O20+O21+O22+O23+O24+O25+O26+O28+O29</f>
        <v>0</v>
      </c>
      <c r="P36" s="260">
        <f>P8+P11+P17+P20+P21+P22+P23+P24+P25+P26+P28+P29</f>
        <v>0</v>
      </c>
      <c r="Q36" s="260">
        <f>Q8+Q11+Q17+Q20+Q21+Q22+Q23+Q24+Q25+Q26+Q28+Q29</f>
        <v>0</v>
      </c>
      <c r="R36" s="264">
        <f>SUM(O36:Q36)</f>
        <v>0</v>
      </c>
      <c r="S36" s="266">
        <f t="shared" si="0"/>
        <v>5838871.7</v>
      </c>
    </row>
    <row r="37" spans="1:19" ht="13.5">
      <c r="A37" s="249" t="s">
        <v>171</v>
      </c>
      <c r="C37" s="240">
        <f>C8+C11</f>
        <v>109502</v>
      </c>
      <c r="D37" s="240">
        <f>D8+D11</f>
        <v>354855.4099999999</v>
      </c>
      <c r="E37" s="240">
        <f>E8+E11</f>
        <v>357999.5900000001</v>
      </c>
      <c r="F37" s="239">
        <f t="shared" si="1"/>
        <v>822357</v>
      </c>
      <c r="G37" s="240">
        <f>G8+G11</f>
        <v>596244.8800000001</v>
      </c>
      <c r="H37" s="240">
        <f>H8+H11</f>
        <v>496262.7199999999</v>
      </c>
      <c r="I37" s="240">
        <f>I8+I11</f>
        <v>1154584</v>
      </c>
      <c r="J37" s="239">
        <f>SUM(G37:I37)</f>
        <v>2247091.6</v>
      </c>
      <c r="K37" s="240">
        <f>K8+K11</f>
        <v>487635</v>
      </c>
      <c r="L37" s="240">
        <f>L8+L11</f>
        <v>234172.99</v>
      </c>
      <c r="M37" s="240">
        <f>M8+M11</f>
        <v>382197.3300000001</v>
      </c>
      <c r="N37" s="239">
        <f>SUM(K37:M37)</f>
        <v>1104005.32</v>
      </c>
      <c r="O37" s="240">
        <f>O8+O11</f>
        <v>0</v>
      </c>
      <c r="P37" s="240">
        <f>P8+P11</f>
        <v>0</v>
      </c>
      <c r="Q37" s="240">
        <f>Q8+Q11</f>
        <v>0</v>
      </c>
      <c r="R37" s="239">
        <f>SUM(O37:Q37)</f>
        <v>0</v>
      </c>
      <c r="S37" s="265">
        <f t="shared" si="0"/>
        <v>4173453.92</v>
      </c>
    </row>
    <row r="38" spans="1:19" ht="13.5">
      <c r="A38" s="240" t="s">
        <v>172</v>
      </c>
      <c r="C38" s="240">
        <f>C17+C20+C21+C22+C23+C24+C25+C26+C28+C29</f>
        <v>225790.28999999998</v>
      </c>
      <c r="D38" s="240">
        <f>D17+D20+D21+D22+D23+D24+D25+D26+D28+D29</f>
        <v>252337.58</v>
      </c>
      <c r="E38" s="240">
        <f>E17+E20+E21+E22+E23+E24+E25+E26+E28+E29</f>
        <v>283786.12999999995</v>
      </c>
      <c r="F38" s="239">
        <f t="shared" si="1"/>
        <v>761914</v>
      </c>
      <c r="G38" s="240">
        <f>G17+G20+G21+G22+G23+G24+G25+G26+G28+G29</f>
        <v>269855.39999999997</v>
      </c>
      <c r="H38" s="240">
        <f>H17+H20+H21+H22+H23+H24+H25+H26+H28+H29</f>
        <v>95840.59999999999</v>
      </c>
      <c r="I38" s="240">
        <f>I17+I20+I21+I22+I23+I24+I25+I26+I28+I29</f>
        <v>100910.00000000001</v>
      </c>
      <c r="J38" s="239">
        <f>SUM(G38:I38)</f>
        <v>466605.99999999994</v>
      </c>
      <c r="K38" s="240">
        <f>K17+K20+K21+K22+K23+K24+K25+K26+K28+K29</f>
        <v>259908.73</v>
      </c>
      <c r="L38" s="240">
        <f>L17+L20+L21+L22+L23+L24+L25+L26+L28+L29</f>
        <v>94067</v>
      </c>
      <c r="M38" s="240">
        <f>M17+M20+M21+M22+M23+M24+M25+M26+M28+M29</f>
        <v>82922.05</v>
      </c>
      <c r="N38" s="239">
        <f>SUM(K38:M38)</f>
        <v>436897.77999999997</v>
      </c>
      <c r="O38" s="240">
        <f>O17+O20+O21+O22+O23+O24+O25+O26+O28+O29</f>
        <v>0</v>
      </c>
      <c r="P38" s="240">
        <f>P17+P20+P21+P22+P23+P24+P25+P26+P28+P29</f>
        <v>0</v>
      </c>
      <c r="Q38" s="240">
        <f>Q17+Q20+Q21+Q22+Q23+Q24+Q25+Q26+Q28+Q29</f>
        <v>0</v>
      </c>
      <c r="R38" s="239">
        <f>SUM(O38:Q38)</f>
        <v>0</v>
      </c>
      <c r="S38" s="265">
        <f t="shared" si="0"/>
        <v>1665417.7799999998</v>
      </c>
    </row>
    <row r="39" spans="6:19" ht="5.25" customHeight="1">
      <c r="F39" s="241"/>
      <c r="J39" s="241"/>
      <c r="N39" s="241"/>
      <c r="R39" s="241"/>
      <c r="S39" s="267"/>
    </row>
    <row r="40" spans="1:19" s="249" customFormat="1" ht="13.5">
      <c r="A40" s="256" t="s">
        <v>352</v>
      </c>
      <c r="B40" s="257"/>
      <c r="C40" s="257">
        <f>C27</f>
        <v>0</v>
      </c>
      <c r="D40" s="257">
        <f>D27</f>
        <v>129631</v>
      </c>
      <c r="E40" s="257">
        <f>E27</f>
        <v>33670</v>
      </c>
      <c r="F40" s="264">
        <f t="shared" si="1"/>
        <v>163301</v>
      </c>
      <c r="G40" s="257">
        <f>G27</f>
        <v>33905</v>
      </c>
      <c r="H40" s="257">
        <f>H27</f>
        <v>137228</v>
      </c>
      <c r="I40" s="257">
        <f>I27</f>
        <v>0</v>
      </c>
      <c r="J40" s="264">
        <f>SUM(G40:I40)</f>
        <v>171133</v>
      </c>
      <c r="K40" s="257">
        <f>K27</f>
        <v>33907</v>
      </c>
      <c r="L40" s="257">
        <f>L27</f>
        <v>134827</v>
      </c>
      <c r="M40" s="257">
        <f>M27</f>
        <v>0</v>
      </c>
      <c r="N40" s="264">
        <f>SUM(K40:M40)</f>
        <v>168734</v>
      </c>
      <c r="O40" s="257">
        <f>O27</f>
        <v>0</v>
      </c>
      <c r="P40" s="257">
        <f>P27</f>
        <v>0</v>
      </c>
      <c r="Q40" s="257">
        <f>Q27</f>
        <v>0</v>
      </c>
      <c r="R40" s="264">
        <f>SUM(O40:Q40)</f>
        <v>0</v>
      </c>
      <c r="S40" s="266">
        <f t="shared" si="0"/>
        <v>503168</v>
      </c>
    </row>
    <row r="41" spans="1:19" s="232" customFormat="1" ht="13.5">
      <c r="A41" s="240" t="s">
        <v>172</v>
      </c>
      <c r="C41" s="232">
        <f>C27</f>
        <v>0</v>
      </c>
      <c r="D41" s="232">
        <f>D27</f>
        <v>129631</v>
      </c>
      <c r="E41" s="232">
        <f>E27</f>
        <v>33670</v>
      </c>
      <c r="F41" s="239">
        <f t="shared" si="1"/>
        <v>163301</v>
      </c>
      <c r="G41" s="232">
        <f>G27</f>
        <v>33905</v>
      </c>
      <c r="H41" s="232">
        <f>H27</f>
        <v>137228</v>
      </c>
      <c r="I41" s="232">
        <f>I27</f>
        <v>0</v>
      </c>
      <c r="J41" s="239">
        <f>SUM(G41:I41)</f>
        <v>171133</v>
      </c>
      <c r="K41" s="232">
        <f>K27</f>
        <v>33907</v>
      </c>
      <c r="L41" s="232">
        <f>L27</f>
        <v>134827</v>
      </c>
      <c r="M41" s="232">
        <f>M27</f>
        <v>0</v>
      </c>
      <c r="N41" s="239">
        <f>SUM(K41:M41)</f>
        <v>168734</v>
      </c>
      <c r="O41" s="232">
        <f>O27</f>
        <v>0</v>
      </c>
      <c r="P41" s="232">
        <f>P27</f>
        <v>0</v>
      </c>
      <c r="Q41" s="232">
        <f>Q27</f>
        <v>0</v>
      </c>
      <c r="R41" s="239">
        <f>SUM(O41:Q41)</f>
        <v>0</v>
      </c>
      <c r="S41" s="265">
        <f t="shared" si="0"/>
        <v>503168</v>
      </c>
    </row>
    <row r="42" spans="1:19" s="258" customFormat="1" ht="13.5">
      <c r="A42" s="261" t="s">
        <v>173</v>
      </c>
      <c r="B42" s="262"/>
      <c r="C42" s="263">
        <f>C31+C36+C40</f>
        <v>600543.29</v>
      </c>
      <c r="D42" s="263">
        <f>D31+D36+D40</f>
        <v>1555282.9899999998</v>
      </c>
      <c r="E42" s="263">
        <f>E31+E36+E40</f>
        <v>1493918.7200000002</v>
      </c>
      <c r="F42" s="264">
        <f t="shared" si="1"/>
        <v>3649745</v>
      </c>
      <c r="G42" s="263">
        <f>G31+G36+G40</f>
        <v>2455236.3800000004</v>
      </c>
      <c r="H42" s="263">
        <f>H31+H36+H40</f>
        <v>1555420.91</v>
      </c>
      <c r="I42" s="263">
        <f>I31+I36+I40</f>
        <v>2153177.71</v>
      </c>
      <c r="J42" s="264">
        <f>SUM(G42:I42)</f>
        <v>6163835</v>
      </c>
      <c r="K42" s="263">
        <f>K31+K36+K40</f>
        <v>914705.9299999999</v>
      </c>
      <c r="L42" s="263">
        <f>L31+L36+L40</f>
        <v>575725.99</v>
      </c>
      <c r="M42" s="263">
        <f>M31+M36+M40</f>
        <v>965349.31</v>
      </c>
      <c r="N42" s="264">
        <f>SUM(K42:M42)</f>
        <v>2455781.23</v>
      </c>
      <c r="O42" s="263">
        <f>O31+O36+O40</f>
        <v>0</v>
      </c>
      <c r="P42" s="263">
        <f>P31+P36+P40</f>
        <v>0</v>
      </c>
      <c r="Q42" s="263">
        <f>Q31+Q36+Q40</f>
        <v>0</v>
      </c>
      <c r="R42" s="264">
        <f>SUM(O42:Q42)</f>
        <v>0</v>
      </c>
      <c r="S42" s="266">
        <f>R42+N42+J42+F42</f>
        <v>12269361.23</v>
      </c>
    </row>
    <row r="43" spans="1:19" s="232" customFormat="1" ht="12.75">
      <c r="A43" s="252"/>
      <c r="S43" s="253"/>
    </row>
    <row r="44" spans="1:19" s="232" customFormat="1" ht="12.75">
      <c r="A44" s="254"/>
      <c r="S44" s="253"/>
    </row>
    <row r="45" spans="1:19" s="232" customFormat="1" ht="12.75">
      <c r="A45" s="252" t="s">
        <v>475</v>
      </c>
      <c r="E45" s="232" t="s">
        <v>462</v>
      </c>
      <c r="S45" s="253"/>
    </row>
    <row r="46" s="232" customFormat="1" ht="12.75">
      <c r="S46" s="253"/>
    </row>
    <row r="47" spans="1:19" s="232" customFormat="1" ht="12.75">
      <c r="A47" s="232" t="s">
        <v>465</v>
      </c>
      <c r="C47" s="232" t="s">
        <v>476</v>
      </c>
      <c r="E47" s="232" t="s">
        <v>463</v>
      </c>
      <c r="S47" s="253"/>
    </row>
    <row r="48" ht="12.75">
      <c r="A48" s="232"/>
    </row>
    <row r="49" ht="12.75">
      <c r="A49" s="232"/>
    </row>
  </sheetData>
  <sheetProtection/>
  <mergeCells count="4">
    <mergeCell ref="A1:S1"/>
    <mergeCell ref="B2:B3"/>
    <mergeCell ref="C2:R2"/>
    <mergeCell ref="A4:A5"/>
  </mergeCells>
  <printOptions/>
  <pageMargins left="0" right="0" top="0" bottom="0.34" header="0.31496062992125984" footer="0.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53"/>
  <sheetViews>
    <sheetView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4" sqref="C24"/>
    </sheetView>
  </sheetViews>
  <sheetFormatPr defaultColWidth="9.00390625" defaultRowHeight="15"/>
  <cols>
    <col min="1" max="1" width="29.140625" style="240" customWidth="1"/>
    <col min="2" max="2" width="5.140625" style="240" customWidth="1"/>
    <col min="3" max="3" width="9.57421875" style="240" customWidth="1"/>
    <col min="4" max="4" width="9.421875" style="240" customWidth="1"/>
    <col min="5" max="5" width="10.140625" style="240" customWidth="1"/>
    <col min="6" max="7" width="9.7109375" style="240" customWidth="1"/>
    <col min="8" max="8" width="9.421875" style="240" customWidth="1"/>
    <col min="9" max="10" width="9.8515625" style="240" customWidth="1"/>
    <col min="11" max="11" width="11.28125" style="240" bestFit="1" customWidth="1"/>
    <col min="12" max="12" width="9.140625" style="240" customWidth="1"/>
    <col min="13" max="13" width="9.421875" style="240" customWidth="1"/>
    <col min="14" max="14" width="9.8515625" style="240" customWidth="1"/>
    <col min="15" max="15" width="8.8515625" style="240" customWidth="1"/>
    <col min="16" max="16" width="9.8515625" style="240" customWidth="1"/>
    <col min="17" max="18" width="9.7109375" style="240" customWidth="1"/>
    <col min="19" max="19" width="13.28125" style="245" customWidth="1"/>
    <col min="20" max="20" width="12.7109375" style="240" customWidth="1"/>
    <col min="21" max="21" width="15.421875" style="240" customWidth="1"/>
    <col min="22" max="16384" width="9.00390625" style="240" customWidth="1"/>
  </cols>
  <sheetData>
    <row r="1" spans="1:19" s="232" customFormat="1" ht="12.75">
      <c r="A1" s="633" t="s">
        <v>461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</row>
    <row r="2" spans="1:19" s="232" customFormat="1" ht="12.75">
      <c r="A2" s="233"/>
      <c r="B2" s="634" t="s">
        <v>151</v>
      </c>
      <c r="C2" s="634" t="s">
        <v>152</v>
      </c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5"/>
      <c r="S2" s="234"/>
    </row>
    <row r="3" spans="1:21" s="232" customFormat="1" ht="13.5" thickBot="1">
      <c r="A3" s="233"/>
      <c r="B3" s="634"/>
      <c r="C3" s="357">
        <v>1</v>
      </c>
      <c r="D3" s="357">
        <v>2</v>
      </c>
      <c r="E3" s="357">
        <v>3</v>
      </c>
      <c r="F3" s="358" t="s">
        <v>153</v>
      </c>
      <c r="G3" s="357">
        <v>4</v>
      </c>
      <c r="H3" s="357">
        <v>5</v>
      </c>
      <c r="I3" s="357">
        <v>6</v>
      </c>
      <c r="J3" s="358" t="s">
        <v>154</v>
      </c>
      <c r="K3" s="357">
        <v>7</v>
      </c>
      <c r="L3" s="357">
        <v>8</v>
      </c>
      <c r="M3" s="357">
        <v>9</v>
      </c>
      <c r="N3" s="358" t="s">
        <v>155</v>
      </c>
      <c r="O3" s="357">
        <v>10</v>
      </c>
      <c r="P3" s="357">
        <v>11</v>
      </c>
      <c r="Q3" s="357">
        <v>12</v>
      </c>
      <c r="R3" s="358" t="s">
        <v>156</v>
      </c>
      <c r="S3" s="359"/>
      <c r="U3" s="269" t="s">
        <v>353</v>
      </c>
    </row>
    <row r="4" spans="1:21" ht="13.5">
      <c r="A4" s="338" t="s">
        <v>157</v>
      </c>
      <c r="B4" s="354">
        <v>211</v>
      </c>
      <c r="C4" s="361">
        <f>ROUND(1124241*C52,0)</f>
        <v>449696</v>
      </c>
      <c r="D4" s="361">
        <f>ROUND(1124241*D52,0)+906</f>
        <v>1125147</v>
      </c>
      <c r="E4" s="362">
        <f>F4-C4-D4</f>
        <v>1123335</v>
      </c>
      <c r="F4" s="363">
        <v>2698178</v>
      </c>
      <c r="G4" s="362">
        <f>ROUND(1124241*G52,0)</f>
        <v>1798786</v>
      </c>
      <c r="H4" s="362">
        <f>ROUND(1124241*H52,0)+429013</f>
        <v>1440830</v>
      </c>
      <c r="I4" s="362">
        <f>J4-G4-H4</f>
        <v>1819470</v>
      </c>
      <c r="J4" s="363">
        <v>5059086</v>
      </c>
      <c r="K4" s="362">
        <f>ROUND(1124241*K52,0)+725</f>
        <v>450421</v>
      </c>
      <c r="L4" s="362">
        <f>ROUND(1124241*L52,0)-370862</f>
        <v>303683</v>
      </c>
      <c r="M4" s="362">
        <f>N4-K4-L4</f>
        <v>943872</v>
      </c>
      <c r="N4" s="363">
        <v>1697976</v>
      </c>
      <c r="O4" s="362">
        <f>ROUND(1153275*O52,0)-68842</f>
        <v>1776398</v>
      </c>
      <c r="P4" s="362">
        <f>ROUND(1153275*P52,0)+68846</f>
        <v>530156</v>
      </c>
      <c r="Q4" s="362">
        <f>R4-O4-P4</f>
        <v>1845235</v>
      </c>
      <c r="R4" s="363">
        <v>4151789</v>
      </c>
      <c r="S4" s="364">
        <f>R4+N4+J4+F4</f>
        <v>13607029</v>
      </c>
      <c r="T4" s="245">
        <f>проверка!D7</f>
        <v>13607029</v>
      </c>
      <c r="U4" s="270">
        <f aca="true" t="shared" si="0" ref="U4:U40">S4-T4</f>
        <v>0</v>
      </c>
    </row>
    <row r="5" spans="1:21" s="243" customFormat="1" ht="76.5">
      <c r="A5" s="53" t="s">
        <v>179</v>
      </c>
      <c r="B5" s="355">
        <v>211</v>
      </c>
      <c r="C5" s="426">
        <f>ROUND(760000.68*C52,2)</f>
        <v>304000.27</v>
      </c>
      <c r="D5" s="426">
        <f>ROUND(760000.68*D52,2)</f>
        <v>760000.68</v>
      </c>
      <c r="E5" s="426">
        <f>ROUND(760000.68*E52,2)</f>
        <v>760000.68</v>
      </c>
      <c r="F5" s="427">
        <f aca="true" t="shared" si="1" ref="F5:F40">SUM(C5:E5)</f>
        <v>1824001.6300000004</v>
      </c>
      <c r="G5" s="349">
        <f>ROUND(760000.68*G52,2)</f>
        <v>1216001.09</v>
      </c>
      <c r="H5" s="349">
        <f>ROUND(760000.68*H52,2)</f>
        <v>684000.61</v>
      </c>
      <c r="I5" s="349">
        <f>ROUND(760000.68*I52,2)</f>
        <v>1140001.02</v>
      </c>
      <c r="J5" s="427">
        <f aca="true" t="shared" si="2" ref="J5:J32">SUM(G5:I5)</f>
        <v>3040002.72</v>
      </c>
      <c r="K5" s="349">
        <f>ROUND(760000.68*K52,2)</f>
        <v>304000.27</v>
      </c>
      <c r="L5" s="349">
        <f>ROUND(760000.68*L52,2)-200000</f>
        <v>256000.40999999997</v>
      </c>
      <c r="M5" s="349">
        <f>ROUND(781507.35*M52,2)-300000</f>
        <v>481507.35</v>
      </c>
      <c r="N5" s="427">
        <f aca="true" t="shared" si="3" ref="N5:N32">SUM(K5:M5)</f>
        <v>1041508.0299999999</v>
      </c>
      <c r="O5" s="349">
        <f>ROUND(781507.35*O52,2)</f>
        <v>1250411.76</v>
      </c>
      <c r="P5" s="349">
        <f>ROUND(781507.35*P52,2)</f>
        <v>312602.94</v>
      </c>
      <c r="Q5" s="349">
        <v>1737503.92</v>
      </c>
      <c r="R5" s="346">
        <f aca="true" t="shared" si="4" ref="R5:R32">SUM(O5:Q5)</f>
        <v>3300518.62</v>
      </c>
      <c r="S5" s="365">
        <f aca="true" t="shared" si="5" ref="S5:S40">R5+N5+J5+F5</f>
        <v>9206031.000000002</v>
      </c>
      <c r="T5" s="244">
        <f>свод!F21</f>
        <v>9206031</v>
      </c>
      <c r="U5" s="270">
        <f t="shared" si="0"/>
        <v>0</v>
      </c>
    </row>
    <row r="6" spans="1:21" ht="90" thickBot="1">
      <c r="A6" s="53" t="s">
        <v>178</v>
      </c>
      <c r="B6" s="356">
        <v>211</v>
      </c>
      <c r="C6" s="428">
        <f>C4-C5</f>
        <v>145695.72999999998</v>
      </c>
      <c r="D6" s="429">
        <f>D4-D5</f>
        <v>365146.31999999995</v>
      </c>
      <c r="E6" s="429">
        <f>E4-E5</f>
        <v>363334.31999999995</v>
      </c>
      <c r="F6" s="430">
        <f t="shared" si="1"/>
        <v>874176.3699999999</v>
      </c>
      <c r="G6" s="429">
        <f>G4-G5</f>
        <v>582784.9099999999</v>
      </c>
      <c r="H6" s="429">
        <f>H4-H5</f>
        <v>756829.39</v>
      </c>
      <c r="I6" s="429">
        <f>I4-I5</f>
        <v>679468.98</v>
      </c>
      <c r="J6" s="430">
        <f t="shared" si="2"/>
        <v>2019083.2799999998</v>
      </c>
      <c r="K6" s="429">
        <f>K4-K5</f>
        <v>146420.72999999998</v>
      </c>
      <c r="L6" s="429">
        <f>L4-L5</f>
        <v>47682.590000000026</v>
      </c>
      <c r="M6" s="429">
        <f>M4-M5</f>
        <v>462364.65</v>
      </c>
      <c r="N6" s="430">
        <f t="shared" si="3"/>
        <v>656467.97</v>
      </c>
      <c r="O6" s="429">
        <f>O4-O5</f>
        <v>525986.24</v>
      </c>
      <c r="P6" s="429">
        <f>P4-P5</f>
        <v>217553.06</v>
      </c>
      <c r="Q6" s="429">
        <f>Q4-Q5</f>
        <v>107731.08000000007</v>
      </c>
      <c r="R6" s="366">
        <f t="shared" si="4"/>
        <v>851270.3800000001</v>
      </c>
      <c r="S6" s="367">
        <f t="shared" si="5"/>
        <v>4400998</v>
      </c>
      <c r="T6" s="240">
        <f>свод!F34</f>
        <v>4400998</v>
      </c>
      <c r="U6" s="270">
        <f t="shared" si="0"/>
        <v>0</v>
      </c>
    </row>
    <row r="7" spans="1:21" ht="13.5">
      <c r="A7" s="338" t="s">
        <v>157</v>
      </c>
      <c r="B7" s="354">
        <v>213</v>
      </c>
      <c r="C7" s="361">
        <f>ROUND(338615*C53,0)</f>
        <v>0</v>
      </c>
      <c r="D7" s="361">
        <f>ROUND(338615*D53,0)</f>
        <v>338615</v>
      </c>
      <c r="E7" s="362">
        <f>F7-D7-C7</f>
        <v>340426</v>
      </c>
      <c r="F7" s="363">
        <v>679041</v>
      </c>
      <c r="G7" s="362">
        <f>ROUND(338615*G53,0)+1812</f>
        <v>679042</v>
      </c>
      <c r="H7" s="362">
        <f>ROUND(338615*H53,0)</f>
        <v>169308</v>
      </c>
      <c r="I7" s="362">
        <f>J7-H7-G7</f>
        <v>679494</v>
      </c>
      <c r="J7" s="363">
        <v>1527844</v>
      </c>
      <c r="K7" s="362">
        <f>ROUND(338615*K53,0)</f>
        <v>270892</v>
      </c>
      <c r="L7" s="362">
        <f>ROUND(338615*L53,0)</f>
        <v>135446</v>
      </c>
      <c r="M7" s="362">
        <f>N7-L7-K7</f>
        <v>102944</v>
      </c>
      <c r="N7" s="363">
        <v>509282</v>
      </c>
      <c r="O7" s="362">
        <f>ROUND(348289*O53,0)</f>
        <v>696578</v>
      </c>
      <c r="P7" s="362">
        <f>ROUND(338615*P53,0)</f>
        <v>0</v>
      </c>
      <c r="Q7" s="362">
        <f>R7-P7-O7</f>
        <v>696578</v>
      </c>
      <c r="R7" s="363">
        <v>1393156</v>
      </c>
      <c r="S7" s="364">
        <f>R7+N7+J7+F7</f>
        <v>4109323</v>
      </c>
      <c r="T7" s="245">
        <f>проверка!D8</f>
        <v>4109323</v>
      </c>
      <c r="U7" s="270">
        <f t="shared" si="0"/>
        <v>0</v>
      </c>
    </row>
    <row r="8" spans="1:21" ht="76.5">
      <c r="A8" s="53" t="s">
        <v>179</v>
      </c>
      <c r="B8" s="356">
        <v>213</v>
      </c>
      <c r="C8" s="369"/>
      <c r="D8" s="349">
        <f>ROUND(D5*30.2%,0)</f>
        <v>229520</v>
      </c>
      <c r="E8" s="349">
        <f>ROUND(E5*30.2%,0)</f>
        <v>229520</v>
      </c>
      <c r="F8" s="427">
        <f t="shared" si="1"/>
        <v>459040</v>
      </c>
      <c r="G8" s="349">
        <f>ROUND(G5*30.2%,0)+100000</f>
        <v>467232</v>
      </c>
      <c r="H8" s="348">
        <f>ROUND(H5*30.2%,0)-100000</f>
        <v>106568</v>
      </c>
      <c r="I8" s="348">
        <f>ROUND(I5*30.2%,0)+100000</f>
        <v>444280</v>
      </c>
      <c r="J8" s="346">
        <f t="shared" si="2"/>
        <v>1018080</v>
      </c>
      <c r="K8" s="348">
        <f>ROUND(K5*30.2%,0)</f>
        <v>91808</v>
      </c>
      <c r="L8" s="348">
        <f>ROUND(L5*30.2%,0)</f>
        <v>77312</v>
      </c>
      <c r="M8" s="348">
        <f>ROUND(M5*30.2%,0)-100000</f>
        <v>45415</v>
      </c>
      <c r="N8" s="346">
        <f t="shared" si="3"/>
        <v>214535</v>
      </c>
      <c r="O8" s="348">
        <f>ROUND(O5*30.2%,0)+100000</f>
        <v>477624</v>
      </c>
      <c r="P8" s="348"/>
      <c r="Q8" s="348">
        <v>610942</v>
      </c>
      <c r="R8" s="346">
        <f t="shared" si="4"/>
        <v>1088566</v>
      </c>
      <c r="S8" s="365">
        <f>R8+N8+J8+F8</f>
        <v>2780221</v>
      </c>
      <c r="T8" s="245">
        <f>свод!F22</f>
        <v>2780221</v>
      </c>
      <c r="U8" s="270">
        <f t="shared" si="0"/>
        <v>0</v>
      </c>
    </row>
    <row r="9" spans="1:21" s="247" customFormat="1" ht="89.25">
      <c r="A9" s="53" t="s">
        <v>178</v>
      </c>
      <c r="B9" s="368">
        <v>213</v>
      </c>
      <c r="C9" s="426">
        <f>C7-C8</f>
        <v>0</v>
      </c>
      <c r="D9" s="349">
        <f>D7-D8</f>
        <v>109095</v>
      </c>
      <c r="E9" s="349">
        <f>E7-E8</f>
        <v>110906</v>
      </c>
      <c r="F9" s="427">
        <f t="shared" si="1"/>
        <v>220001</v>
      </c>
      <c r="G9" s="349">
        <f>G7-G8</f>
        <v>211810</v>
      </c>
      <c r="H9" s="349">
        <f>H7-H8</f>
        <v>62740</v>
      </c>
      <c r="I9" s="349">
        <f>I7-I8</f>
        <v>235214</v>
      </c>
      <c r="J9" s="427">
        <f t="shared" si="2"/>
        <v>509764</v>
      </c>
      <c r="K9" s="349">
        <f>K7-K8</f>
        <v>179084</v>
      </c>
      <c r="L9" s="349">
        <f>L7-L8</f>
        <v>58134</v>
      </c>
      <c r="M9" s="349">
        <f>M7-M8</f>
        <v>57529</v>
      </c>
      <c r="N9" s="427">
        <f t="shared" si="3"/>
        <v>294747</v>
      </c>
      <c r="O9" s="349">
        <f>O7-O8</f>
        <v>218954</v>
      </c>
      <c r="P9" s="349">
        <f>P7-P8</f>
        <v>0</v>
      </c>
      <c r="Q9" s="349">
        <f>Q7-Q8</f>
        <v>85636</v>
      </c>
      <c r="R9" s="427">
        <f t="shared" si="4"/>
        <v>304590</v>
      </c>
      <c r="S9" s="365">
        <f t="shared" si="5"/>
        <v>1329102</v>
      </c>
      <c r="T9" s="243">
        <f>свод!F36</f>
        <v>1329102</v>
      </c>
      <c r="U9" s="270">
        <f t="shared" si="0"/>
        <v>0</v>
      </c>
    </row>
    <row r="10" spans="1:21" s="247" customFormat="1" ht="13.5">
      <c r="A10" s="53" t="s">
        <v>450</v>
      </c>
      <c r="B10" s="368">
        <v>226</v>
      </c>
      <c r="C10" s="426"/>
      <c r="D10" s="349"/>
      <c r="E10" s="349">
        <v>5341</v>
      </c>
      <c r="F10" s="427">
        <f t="shared" si="1"/>
        <v>5341</v>
      </c>
      <c r="G10" s="349"/>
      <c r="H10" s="349"/>
      <c r="I10" s="349">
        <v>5341</v>
      </c>
      <c r="J10" s="427">
        <f t="shared" si="2"/>
        <v>5341</v>
      </c>
      <c r="K10" s="349"/>
      <c r="L10" s="349"/>
      <c r="M10" s="349">
        <v>5341</v>
      </c>
      <c r="N10" s="427">
        <f t="shared" si="3"/>
        <v>5341</v>
      </c>
      <c r="O10" s="349"/>
      <c r="P10" s="349"/>
      <c r="Q10" s="349"/>
      <c r="R10" s="427">
        <f t="shared" si="4"/>
        <v>0</v>
      </c>
      <c r="S10" s="365">
        <f t="shared" si="5"/>
        <v>16023</v>
      </c>
      <c r="T10" s="244">
        <f>проверка!D9</f>
        <v>16023</v>
      </c>
      <c r="U10" s="270">
        <f t="shared" si="0"/>
        <v>0</v>
      </c>
    </row>
    <row r="11" spans="1:21" s="247" customFormat="1" ht="13.5">
      <c r="A11" s="53" t="s">
        <v>169</v>
      </c>
      <c r="B11" s="356">
        <v>310</v>
      </c>
      <c r="C11" s="426"/>
      <c r="D11" s="349"/>
      <c r="E11" s="349"/>
      <c r="F11" s="427">
        <f t="shared" si="1"/>
        <v>0</v>
      </c>
      <c r="G11" s="349">
        <v>44751</v>
      </c>
      <c r="H11" s="349"/>
      <c r="I11" s="349"/>
      <c r="J11" s="427">
        <f t="shared" si="2"/>
        <v>44751</v>
      </c>
      <c r="K11" s="349"/>
      <c r="L11" s="349"/>
      <c r="M11" s="349"/>
      <c r="N11" s="427">
        <f t="shared" si="3"/>
        <v>0</v>
      </c>
      <c r="O11" s="349">
        <v>44750</v>
      </c>
      <c r="P11" s="349"/>
      <c r="Q11" s="349"/>
      <c r="R11" s="427">
        <f t="shared" si="4"/>
        <v>44750</v>
      </c>
      <c r="S11" s="365">
        <f t="shared" si="5"/>
        <v>89501</v>
      </c>
      <c r="T11" s="244">
        <f>проверка!D10</f>
        <v>89501</v>
      </c>
      <c r="U11" s="270">
        <f t="shared" si="0"/>
        <v>0</v>
      </c>
    </row>
    <row r="12" spans="1:21" s="247" customFormat="1" ht="26.25" thickBot="1">
      <c r="A12" s="231" t="s">
        <v>170</v>
      </c>
      <c r="B12" s="356">
        <v>340</v>
      </c>
      <c r="C12" s="426"/>
      <c r="D12" s="349"/>
      <c r="E12" s="349"/>
      <c r="F12" s="427">
        <f t="shared" si="1"/>
        <v>0</v>
      </c>
      <c r="G12" s="431">
        <v>24415</v>
      </c>
      <c r="H12" s="431"/>
      <c r="I12" s="431"/>
      <c r="J12" s="432">
        <f t="shared" si="2"/>
        <v>24415</v>
      </c>
      <c r="K12" s="431"/>
      <c r="L12" s="431"/>
      <c r="M12" s="431"/>
      <c r="N12" s="432">
        <f t="shared" si="3"/>
        <v>0</v>
      </c>
      <c r="O12" s="431">
        <v>24096</v>
      </c>
      <c r="P12" s="431"/>
      <c r="Q12" s="431"/>
      <c r="R12" s="432">
        <f t="shared" si="4"/>
        <v>24096</v>
      </c>
      <c r="S12" s="370">
        <f t="shared" si="5"/>
        <v>48511</v>
      </c>
      <c r="T12" s="244">
        <f>проверка!D11</f>
        <v>48511</v>
      </c>
      <c r="U12" s="270">
        <f t="shared" si="0"/>
        <v>0</v>
      </c>
    </row>
    <row r="13" spans="1:21" s="247" customFormat="1" ht="14.25" thickBot="1">
      <c r="A13" s="231" t="s">
        <v>343</v>
      </c>
      <c r="B13" s="356"/>
      <c r="C13" s="428">
        <f>C12+C11+C7+C4+C10</f>
        <v>449696</v>
      </c>
      <c r="D13" s="429">
        <f>D12+D11+D7+D4+D10</f>
        <v>1463762</v>
      </c>
      <c r="E13" s="429">
        <f>E12+E11+E7+E4+E10</f>
        <v>1469102</v>
      </c>
      <c r="F13" s="433">
        <f t="shared" si="1"/>
        <v>3382560</v>
      </c>
      <c r="G13" s="434">
        <f>G12+G11+G7+G4+G10</f>
        <v>2546994</v>
      </c>
      <c r="H13" s="435">
        <f>H12+H11+H7+H4+H10</f>
        <v>1610138</v>
      </c>
      <c r="I13" s="435">
        <f>I12+I11+I7+I4+I10</f>
        <v>2504305</v>
      </c>
      <c r="J13" s="436">
        <f t="shared" si="2"/>
        <v>6661437</v>
      </c>
      <c r="K13" s="435">
        <f>K12+K11+K7+K4+K10</f>
        <v>721313</v>
      </c>
      <c r="L13" s="435">
        <f>L12+L11+L7+L4+L10</f>
        <v>439129</v>
      </c>
      <c r="M13" s="435">
        <f>M12+M11+M7+M4+M10</f>
        <v>1052157</v>
      </c>
      <c r="N13" s="436">
        <f>SUM(K13:M13)</f>
        <v>2212599</v>
      </c>
      <c r="O13" s="435">
        <f>O12+O11+O7+O4+O10</f>
        <v>2541822</v>
      </c>
      <c r="P13" s="435">
        <f>P12+P11+P7+P4+P10</f>
        <v>530156</v>
      </c>
      <c r="Q13" s="435">
        <f>Q12+Q11+Q7+Q4+Q10</f>
        <v>2541813</v>
      </c>
      <c r="R13" s="436">
        <f t="shared" si="4"/>
        <v>5613791</v>
      </c>
      <c r="S13" s="371">
        <f>R13+N13+J13+F13</f>
        <v>17870387</v>
      </c>
      <c r="T13" s="244">
        <f>проверка!D7+проверка!D8+проверка!D10+проверка!D11+проверка!C9</f>
        <v>17870387</v>
      </c>
      <c r="U13" s="270">
        <f>S13-T13</f>
        <v>0</v>
      </c>
    </row>
    <row r="14" spans="1:21" ht="13.5">
      <c r="A14" s="337" t="s">
        <v>158</v>
      </c>
      <c r="B14" s="237">
        <v>211</v>
      </c>
      <c r="C14" s="437">
        <v>14987</v>
      </c>
      <c r="D14" s="437">
        <v>37608</v>
      </c>
      <c r="E14" s="437">
        <v>37568</v>
      </c>
      <c r="F14" s="438">
        <f t="shared" si="1"/>
        <v>90163</v>
      </c>
      <c r="G14" s="437">
        <f>37568</f>
        <v>37568</v>
      </c>
      <c r="H14" s="437">
        <v>58100</v>
      </c>
      <c r="I14" s="437">
        <f>20976+26114</f>
        <v>47090</v>
      </c>
      <c r="J14" s="438">
        <f t="shared" si="2"/>
        <v>142758</v>
      </c>
      <c r="K14" s="437">
        <f>-22486+30000</f>
        <v>7514</v>
      </c>
      <c r="L14" s="437">
        <v>37568</v>
      </c>
      <c r="M14" s="437">
        <v>37568</v>
      </c>
      <c r="N14" s="438">
        <f t="shared" si="3"/>
        <v>82650</v>
      </c>
      <c r="O14" s="437">
        <v>37568</v>
      </c>
      <c r="P14" s="437">
        <v>37568</v>
      </c>
      <c r="Q14" s="437">
        <f>61642.1-1533.1</f>
        <v>60109</v>
      </c>
      <c r="R14" s="438">
        <f t="shared" si="4"/>
        <v>135245</v>
      </c>
      <c r="S14" s="360">
        <f t="shared" si="5"/>
        <v>450816</v>
      </c>
      <c r="T14" s="245">
        <f>проверка!D12</f>
        <v>450816</v>
      </c>
      <c r="U14" s="270">
        <f t="shared" si="0"/>
        <v>0</v>
      </c>
    </row>
    <row r="15" spans="1:21" s="243" customFormat="1" ht="76.5">
      <c r="A15" s="53" t="s">
        <v>179</v>
      </c>
      <c r="B15" s="242">
        <v>211</v>
      </c>
      <c r="C15" s="349"/>
      <c r="D15" s="349"/>
      <c r="E15" s="349"/>
      <c r="F15" s="427">
        <f t="shared" si="1"/>
        <v>0</v>
      </c>
      <c r="G15" s="349"/>
      <c r="H15" s="349"/>
      <c r="I15" s="349"/>
      <c r="J15" s="427">
        <f t="shared" si="2"/>
        <v>0</v>
      </c>
      <c r="K15" s="349"/>
      <c r="L15" s="349"/>
      <c r="M15" s="349"/>
      <c r="N15" s="427">
        <f t="shared" si="3"/>
        <v>0</v>
      </c>
      <c r="O15" s="349"/>
      <c r="P15" s="349"/>
      <c r="Q15" s="349"/>
      <c r="R15" s="427">
        <f t="shared" si="4"/>
        <v>0</v>
      </c>
      <c r="S15" s="347">
        <f t="shared" si="5"/>
        <v>0</v>
      </c>
      <c r="T15" s="244">
        <f>свод!F16</f>
        <v>0</v>
      </c>
      <c r="U15" s="270">
        <f t="shared" si="0"/>
        <v>0</v>
      </c>
    </row>
    <row r="16" spans="1:21" ht="89.25">
      <c r="A16" s="53" t="s">
        <v>178</v>
      </c>
      <c r="B16" s="241">
        <v>211</v>
      </c>
      <c r="C16" s="349">
        <f>C14-C15</f>
        <v>14987</v>
      </c>
      <c r="D16" s="349">
        <f>D14-D15</f>
        <v>37608</v>
      </c>
      <c r="E16" s="349">
        <f>E14-E15</f>
        <v>37568</v>
      </c>
      <c r="F16" s="427">
        <f t="shared" si="1"/>
        <v>90163</v>
      </c>
      <c r="G16" s="349">
        <f>G14-G15</f>
        <v>37568</v>
      </c>
      <c r="H16" s="349">
        <f>H14-H15</f>
        <v>58100</v>
      </c>
      <c r="I16" s="349">
        <f>I14-I15</f>
        <v>47090</v>
      </c>
      <c r="J16" s="427">
        <f t="shared" si="2"/>
        <v>142758</v>
      </c>
      <c r="K16" s="349">
        <f>K14-K15</f>
        <v>7514</v>
      </c>
      <c r="L16" s="349">
        <f>L14-L15</f>
        <v>37568</v>
      </c>
      <c r="M16" s="349">
        <f>M14-M15</f>
        <v>37568</v>
      </c>
      <c r="N16" s="427">
        <f t="shared" si="3"/>
        <v>82650</v>
      </c>
      <c r="O16" s="349">
        <f>O14-O15</f>
        <v>37568</v>
      </c>
      <c r="P16" s="349">
        <f>P14-P15</f>
        <v>37568</v>
      </c>
      <c r="Q16" s="349">
        <f>Q14-Q15</f>
        <v>60109</v>
      </c>
      <c r="R16" s="427">
        <f t="shared" si="4"/>
        <v>135245</v>
      </c>
      <c r="S16" s="347">
        <f t="shared" si="5"/>
        <v>450816</v>
      </c>
      <c r="T16" s="245">
        <f>проверка!D12</f>
        <v>450816</v>
      </c>
      <c r="U16" s="270">
        <f t="shared" si="0"/>
        <v>0</v>
      </c>
    </row>
    <row r="17" spans="1:21" ht="13.5">
      <c r="A17" s="337" t="s">
        <v>158</v>
      </c>
      <c r="B17" s="237">
        <v>213</v>
      </c>
      <c r="C17" s="439">
        <f>167+11178</f>
        <v>11345</v>
      </c>
      <c r="D17" s="439">
        <v>11346</v>
      </c>
      <c r="E17" s="439">
        <v>11346</v>
      </c>
      <c r="F17" s="427">
        <f t="shared" si="1"/>
        <v>34037</v>
      </c>
      <c r="G17" s="439">
        <v>11346</v>
      </c>
      <c r="H17" s="439">
        <v>17546</v>
      </c>
      <c r="I17" s="439">
        <f>6335+7886</f>
        <v>14221</v>
      </c>
      <c r="J17" s="427">
        <f t="shared" si="2"/>
        <v>43113</v>
      </c>
      <c r="K17" s="439">
        <f>-6792+9060</f>
        <v>2268</v>
      </c>
      <c r="L17" s="439">
        <v>11346</v>
      </c>
      <c r="M17" s="439">
        <v>11346</v>
      </c>
      <c r="N17" s="427">
        <f t="shared" si="3"/>
        <v>24960</v>
      </c>
      <c r="O17" s="439">
        <v>11346</v>
      </c>
      <c r="P17" s="439">
        <v>11346</v>
      </c>
      <c r="Q17" s="439">
        <f>290+11054</f>
        <v>11344</v>
      </c>
      <c r="R17" s="427">
        <f t="shared" si="4"/>
        <v>34036</v>
      </c>
      <c r="S17" s="347">
        <f t="shared" si="5"/>
        <v>136146</v>
      </c>
      <c r="T17" s="245">
        <f>проверка!D14</f>
        <v>136146</v>
      </c>
      <c r="U17" s="270">
        <f t="shared" si="0"/>
        <v>0</v>
      </c>
    </row>
    <row r="18" spans="1:21" ht="76.5">
      <c r="A18" s="53" t="s">
        <v>179</v>
      </c>
      <c r="B18" s="242">
        <v>213</v>
      </c>
      <c r="C18" s="349">
        <v>0</v>
      </c>
      <c r="D18" s="349">
        <f>ROUND(D15*30.2%,0)</f>
        <v>0</v>
      </c>
      <c r="E18" s="349">
        <f>ROUND(E15*30.2%,0)</f>
        <v>0</v>
      </c>
      <c r="F18" s="427">
        <f t="shared" si="1"/>
        <v>0</v>
      </c>
      <c r="G18" s="349">
        <f>ROUND(G15*30.2%,0)</f>
        <v>0</v>
      </c>
      <c r="H18" s="349">
        <f>ROUND(H15*30.2%,0)</f>
        <v>0</v>
      </c>
      <c r="I18" s="349">
        <f>ROUND(I15*30.2%,0)</f>
        <v>0</v>
      </c>
      <c r="J18" s="427">
        <f t="shared" si="2"/>
        <v>0</v>
      </c>
      <c r="K18" s="349">
        <f>ROUND(K15*30.2%,0)</f>
        <v>0</v>
      </c>
      <c r="L18" s="349">
        <f>ROUND(L15*30.2%,0)</f>
        <v>0</v>
      </c>
      <c r="M18" s="349">
        <f>ROUND(M15*30.2%,0)</f>
        <v>0</v>
      </c>
      <c r="N18" s="427">
        <f t="shared" si="3"/>
        <v>0</v>
      </c>
      <c r="O18" s="349">
        <f>ROUND(O15*30.2%,0)</f>
        <v>0</v>
      </c>
      <c r="P18" s="349">
        <f>ROUND(P15*30.2%,0)</f>
        <v>0</v>
      </c>
      <c r="Q18" s="349">
        <f>ROUND(Q15*30.2%,0)</f>
        <v>0</v>
      </c>
      <c r="R18" s="427">
        <f t="shared" si="4"/>
        <v>0</v>
      </c>
      <c r="S18" s="347">
        <f t="shared" si="5"/>
        <v>0</v>
      </c>
      <c r="T18" s="245">
        <f>свод!F17</f>
        <v>0</v>
      </c>
      <c r="U18" s="270">
        <f t="shared" si="0"/>
        <v>0</v>
      </c>
    </row>
    <row r="19" spans="1:21" s="243" customFormat="1" ht="89.25">
      <c r="A19" s="53" t="s">
        <v>178</v>
      </c>
      <c r="B19" s="241">
        <v>213</v>
      </c>
      <c r="C19" s="349">
        <f>C17-C18</f>
        <v>11345</v>
      </c>
      <c r="D19" s="349">
        <f>D17-D18</f>
        <v>11346</v>
      </c>
      <c r="E19" s="349">
        <f>E17-E18</f>
        <v>11346</v>
      </c>
      <c r="F19" s="427">
        <f t="shared" si="1"/>
        <v>34037</v>
      </c>
      <c r="G19" s="349">
        <f>G17-G18</f>
        <v>11346</v>
      </c>
      <c r="H19" s="349">
        <f>H17-H18</f>
        <v>17546</v>
      </c>
      <c r="I19" s="349">
        <f>I17-I18</f>
        <v>14221</v>
      </c>
      <c r="J19" s="427">
        <f t="shared" si="2"/>
        <v>43113</v>
      </c>
      <c r="K19" s="349">
        <f>K17-K18</f>
        <v>2268</v>
      </c>
      <c r="L19" s="349">
        <f>L17-L18</f>
        <v>11346</v>
      </c>
      <c r="M19" s="349">
        <f>M17-M18</f>
        <v>11346</v>
      </c>
      <c r="N19" s="427">
        <f t="shared" si="3"/>
        <v>24960</v>
      </c>
      <c r="O19" s="349">
        <f>O17-O18</f>
        <v>11346</v>
      </c>
      <c r="P19" s="349">
        <f>P17-P18</f>
        <v>11346</v>
      </c>
      <c r="Q19" s="349">
        <f>Q17-Q18</f>
        <v>11344</v>
      </c>
      <c r="R19" s="427">
        <f t="shared" si="4"/>
        <v>34036</v>
      </c>
      <c r="S19" s="347">
        <f t="shared" si="5"/>
        <v>136146</v>
      </c>
      <c r="T19" s="244">
        <f>свод!F41</f>
        <v>136146</v>
      </c>
      <c r="U19" s="270">
        <f t="shared" si="0"/>
        <v>0</v>
      </c>
    </row>
    <row r="20" spans="1:21" ht="25.5">
      <c r="A20" s="53" t="s">
        <v>159</v>
      </c>
      <c r="B20" s="241">
        <v>212</v>
      </c>
      <c r="C20" s="349">
        <v>50</v>
      </c>
      <c r="D20" s="349">
        <v>50</v>
      </c>
      <c r="E20" s="349">
        <v>50</v>
      </c>
      <c r="F20" s="427">
        <f t="shared" si="1"/>
        <v>150</v>
      </c>
      <c r="G20" s="349">
        <v>50</v>
      </c>
      <c r="H20" s="349">
        <v>50</v>
      </c>
      <c r="I20" s="349">
        <v>50</v>
      </c>
      <c r="J20" s="427">
        <f t="shared" si="2"/>
        <v>150</v>
      </c>
      <c r="K20" s="349">
        <v>50</v>
      </c>
      <c r="L20" s="349">
        <v>50</v>
      </c>
      <c r="M20" s="349">
        <v>50</v>
      </c>
      <c r="N20" s="427">
        <f t="shared" si="3"/>
        <v>150</v>
      </c>
      <c r="O20" s="349">
        <v>50</v>
      </c>
      <c r="P20" s="349">
        <v>50</v>
      </c>
      <c r="Q20" s="349">
        <v>50</v>
      </c>
      <c r="R20" s="427">
        <f t="shared" si="4"/>
        <v>150</v>
      </c>
      <c r="S20" s="347">
        <f t="shared" si="5"/>
        <v>600</v>
      </c>
      <c r="T20" s="245">
        <f>свод!F42</f>
        <v>600</v>
      </c>
      <c r="U20" s="270">
        <f t="shared" si="0"/>
        <v>0</v>
      </c>
    </row>
    <row r="21" spans="1:21" ht="13.5">
      <c r="A21" s="53" t="s">
        <v>160</v>
      </c>
      <c r="B21" s="241">
        <v>221</v>
      </c>
      <c r="C21" s="349">
        <v>614</v>
      </c>
      <c r="D21" s="349">
        <v>614</v>
      </c>
      <c r="E21" s="349">
        <v>615</v>
      </c>
      <c r="F21" s="427">
        <f t="shared" si="1"/>
        <v>1843</v>
      </c>
      <c r="G21" s="349">
        <v>614</v>
      </c>
      <c r="H21" s="349">
        <v>614</v>
      </c>
      <c r="I21" s="349">
        <v>615</v>
      </c>
      <c r="J21" s="427">
        <f t="shared" si="2"/>
        <v>1843</v>
      </c>
      <c r="K21" s="349">
        <v>614</v>
      </c>
      <c r="L21" s="349">
        <v>614</v>
      </c>
      <c r="M21" s="349">
        <v>615</v>
      </c>
      <c r="N21" s="427">
        <f t="shared" si="3"/>
        <v>1843</v>
      </c>
      <c r="O21" s="349">
        <v>614</v>
      </c>
      <c r="P21" s="349">
        <v>614</v>
      </c>
      <c r="Q21" s="349">
        <v>615</v>
      </c>
      <c r="R21" s="427">
        <f t="shared" si="4"/>
        <v>1843</v>
      </c>
      <c r="S21" s="347">
        <f t="shared" si="5"/>
        <v>7372</v>
      </c>
      <c r="T21" s="245">
        <f>проверка!D15</f>
        <v>7372</v>
      </c>
      <c r="U21" s="270">
        <f t="shared" si="0"/>
        <v>0</v>
      </c>
    </row>
    <row r="22" spans="1:21" ht="13.5">
      <c r="A22" s="53" t="s">
        <v>161</v>
      </c>
      <c r="B22" s="241">
        <v>223</v>
      </c>
      <c r="C22" s="440">
        <v>196887</v>
      </c>
      <c r="D22" s="440">
        <v>212256</v>
      </c>
      <c r="E22" s="440">
        <v>244326</v>
      </c>
      <c r="F22" s="427">
        <f t="shared" si="1"/>
        <v>653469</v>
      </c>
      <c r="G22" s="440">
        <v>98800</v>
      </c>
      <c r="H22" s="440">
        <v>50060</v>
      </c>
      <c r="I22" s="440">
        <v>39938</v>
      </c>
      <c r="J22" s="427">
        <f t="shared" si="2"/>
        <v>188798</v>
      </c>
      <c r="K22" s="440">
        <v>23000</v>
      </c>
      <c r="L22" s="440">
        <v>23000</v>
      </c>
      <c r="M22" s="440">
        <v>43668</v>
      </c>
      <c r="N22" s="427">
        <f t="shared" si="3"/>
        <v>89668</v>
      </c>
      <c r="O22" s="440">
        <v>135000</v>
      </c>
      <c r="P22" s="440">
        <v>180000</v>
      </c>
      <c r="Q22" s="440">
        <v>235433</v>
      </c>
      <c r="R22" s="427">
        <f t="shared" si="4"/>
        <v>550433</v>
      </c>
      <c r="S22" s="347">
        <f t="shared" si="5"/>
        <v>1482368</v>
      </c>
      <c r="T22" s="245">
        <f>проверка!D17</f>
        <v>1482368</v>
      </c>
      <c r="U22" s="270">
        <f t="shared" si="0"/>
        <v>0</v>
      </c>
    </row>
    <row r="23" spans="1:21" ht="26.25">
      <c r="A23" s="230" t="s">
        <v>348</v>
      </c>
      <c r="B23" s="241">
        <v>225</v>
      </c>
      <c r="C23" s="440"/>
      <c r="D23" s="440">
        <v>11221</v>
      </c>
      <c r="E23" s="440">
        <v>17764</v>
      </c>
      <c r="F23" s="427">
        <f t="shared" si="1"/>
        <v>28985</v>
      </c>
      <c r="G23" s="440">
        <v>11760</v>
      </c>
      <c r="H23" s="440">
        <v>11760</v>
      </c>
      <c r="I23" s="440">
        <v>11765</v>
      </c>
      <c r="J23" s="427">
        <f t="shared" si="2"/>
        <v>35285</v>
      </c>
      <c r="K23" s="440">
        <v>13645</v>
      </c>
      <c r="L23" s="440">
        <v>13645</v>
      </c>
      <c r="M23" s="440">
        <v>13645</v>
      </c>
      <c r="N23" s="427">
        <f t="shared" si="3"/>
        <v>40935</v>
      </c>
      <c r="O23" s="440">
        <v>11760</v>
      </c>
      <c r="P23" s="440">
        <v>11760</v>
      </c>
      <c r="Q23" s="440">
        <f>11765</f>
        <v>11765</v>
      </c>
      <c r="R23" s="427">
        <f t="shared" si="4"/>
        <v>35285</v>
      </c>
      <c r="S23" s="347">
        <f t="shared" si="5"/>
        <v>140490</v>
      </c>
      <c r="T23" s="245">
        <f>проверка!D19</f>
        <v>140490</v>
      </c>
      <c r="U23" s="270">
        <f t="shared" si="0"/>
        <v>0</v>
      </c>
    </row>
    <row r="24" spans="1:21" ht="13.5">
      <c r="A24" s="53" t="s">
        <v>345</v>
      </c>
      <c r="B24" s="241">
        <v>226</v>
      </c>
      <c r="C24" s="440"/>
      <c r="D24" s="440">
        <f>3100+2000</f>
        <v>5100</v>
      </c>
      <c r="E24" s="440">
        <f>-3100+4775</f>
        <v>1675</v>
      </c>
      <c r="F24" s="427">
        <f t="shared" si="1"/>
        <v>6775</v>
      </c>
      <c r="G24" s="440">
        <v>4700</v>
      </c>
      <c r="H24" s="440">
        <v>1000</v>
      </c>
      <c r="I24" s="440">
        <v>4310</v>
      </c>
      <c r="J24" s="427">
        <f t="shared" si="2"/>
        <v>10010</v>
      </c>
      <c r="K24" s="440">
        <v>52365</v>
      </c>
      <c r="L24" s="440">
        <v>1000</v>
      </c>
      <c r="M24" s="440">
        <v>1000</v>
      </c>
      <c r="N24" s="427">
        <f t="shared" si="3"/>
        <v>54365</v>
      </c>
      <c r="O24" s="440">
        <v>1676</v>
      </c>
      <c r="P24" s="440">
        <v>1000</v>
      </c>
      <c r="Q24" s="440">
        <v>1000</v>
      </c>
      <c r="R24" s="427">
        <f t="shared" si="4"/>
        <v>3676</v>
      </c>
      <c r="S24" s="347">
        <f t="shared" si="5"/>
        <v>74826</v>
      </c>
      <c r="T24" s="245">
        <f>проверка!D20</f>
        <v>74826</v>
      </c>
      <c r="U24" s="270">
        <f>S24-T24</f>
        <v>0</v>
      </c>
    </row>
    <row r="25" spans="1:21" ht="13.5">
      <c r="A25" s="53" t="s">
        <v>407</v>
      </c>
      <c r="B25" s="241">
        <v>290</v>
      </c>
      <c r="C25" s="440"/>
      <c r="D25" s="440"/>
      <c r="E25" s="440"/>
      <c r="F25" s="427">
        <f t="shared" si="1"/>
        <v>0</v>
      </c>
      <c r="G25" s="440"/>
      <c r="H25" s="440"/>
      <c r="I25" s="440"/>
      <c r="J25" s="427">
        <f t="shared" si="2"/>
        <v>0</v>
      </c>
      <c r="K25" s="440"/>
      <c r="L25" s="440"/>
      <c r="M25" s="440"/>
      <c r="N25" s="427">
        <f t="shared" si="3"/>
        <v>0</v>
      </c>
      <c r="O25" s="440"/>
      <c r="P25" s="440"/>
      <c r="Q25" s="440"/>
      <c r="R25" s="427">
        <f t="shared" si="4"/>
        <v>0</v>
      </c>
      <c r="S25" s="347">
        <f t="shared" si="5"/>
        <v>0</v>
      </c>
      <c r="T25" s="271"/>
      <c r="U25" s="270">
        <f t="shared" si="0"/>
        <v>0</v>
      </c>
    </row>
    <row r="26" spans="1:21" ht="13.5">
      <c r="A26" s="53" t="s">
        <v>347</v>
      </c>
      <c r="B26" s="241">
        <v>290</v>
      </c>
      <c r="C26" s="440">
        <v>190606</v>
      </c>
      <c r="D26" s="440"/>
      <c r="E26" s="440">
        <v>31884</v>
      </c>
      <c r="F26" s="427">
        <f t="shared" si="1"/>
        <v>222490</v>
      </c>
      <c r="G26" s="440">
        <v>222490</v>
      </c>
      <c r="H26" s="440"/>
      <c r="I26" s="440"/>
      <c r="J26" s="427">
        <f t="shared" si="2"/>
        <v>222490</v>
      </c>
      <c r="K26" s="440">
        <f>12600+222490</f>
        <v>235090</v>
      </c>
      <c r="L26" s="440"/>
      <c r="M26" s="440"/>
      <c r="N26" s="427">
        <f t="shared" si="3"/>
        <v>235090</v>
      </c>
      <c r="O26" s="440">
        <v>222490</v>
      </c>
      <c r="P26" s="440"/>
      <c r="Q26" s="440"/>
      <c r="R26" s="427">
        <f t="shared" si="4"/>
        <v>222490</v>
      </c>
      <c r="S26" s="347">
        <f t="shared" si="5"/>
        <v>902560</v>
      </c>
      <c r="T26" s="245">
        <f>свод!F133</f>
        <v>902560</v>
      </c>
      <c r="U26" s="270">
        <f t="shared" si="0"/>
        <v>0</v>
      </c>
    </row>
    <row r="27" spans="1:21" ht="13.5">
      <c r="A27" s="53" t="s">
        <v>169</v>
      </c>
      <c r="B27" s="241">
        <v>310</v>
      </c>
      <c r="C27" s="349"/>
      <c r="D27" s="349"/>
      <c r="E27" s="349"/>
      <c r="F27" s="427">
        <f t="shared" si="1"/>
        <v>0</v>
      </c>
      <c r="G27" s="349"/>
      <c r="H27" s="349"/>
      <c r="I27" s="349"/>
      <c r="J27" s="427">
        <f t="shared" si="2"/>
        <v>0</v>
      </c>
      <c r="K27" s="349"/>
      <c r="L27" s="349"/>
      <c r="M27" s="440"/>
      <c r="N27" s="427">
        <f t="shared" si="3"/>
        <v>0</v>
      </c>
      <c r="O27" s="349"/>
      <c r="P27" s="349"/>
      <c r="Q27" s="440"/>
      <c r="R27" s="427">
        <f t="shared" si="4"/>
        <v>0</v>
      </c>
      <c r="S27" s="347">
        <f t="shared" si="5"/>
        <v>0</v>
      </c>
      <c r="T27" s="271"/>
      <c r="U27" s="333">
        <f t="shared" si="0"/>
        <v>0</v>
      </c>
    </row>
    <row r="28" spans="1:21" ht="26.25" thickBot="1">
      <c r="A28" s="231" t="s">
        <v>170</v>
      </c>
      <c r="B28" s="241">
        <v>340</v>
      </c>
      <c r="C28" s="431"/>
      <c r="D28" s="431"/>
      <c r="E28" s="431"/>
      <c r="F28" s="432">
        <f t="shared" si="1"/>
        <v>0</v>
      </c>
      <c r="G28" s="431"/>
      <c r="H28" s="431"/>
      <c r="I28" s="431"/>
      <c r="J28" s="432">
        <f t="shared" si="2"/>
        <v>0</v>
      </c>
      <c r="K28" s="431"/>
      <c r="L28" s="431">
        <v>30000</v>
      </c>
      <c r="M28" s="441"/>
      <c r="N28" s="432">
        <f t="shared" si="3"/>
        <v>30000</v>
      </c>
      <c r="O28" s="431"/>
      <c r="P28" s="431"/>
      <c r="Q28" s="441"/>
      <c r="R28" s="432">
        <f t="shared" si="4"/>
        <v>0</v>
      </c>
      <c r="S28" s="372">
        <f t="shared" si="5"/>
        <v>30000</v>
      </c>
      <c r="T28" s="245">
        <f>проверка!D22</f>
        <v>30000</v>
      </c>
      <c r="U28" s="270">
        <f t="shared" si="0"/>
        <v>0</v>
      </c>
    </row>
    <row r="29" spans="1:21" ht="14.25" thickBot="1">
      <c r="A29" s="231" t="s">
        <v>344</v>
      </c>
      <c r="B29" s="356"/>
      <c r="C29" s="442">
        <f>C28+C27+C26+C25+C24+C23+C22+C21+C20+C17+C14</f>
        <v>414489</v>
      </c>
      <c r="D29" s="443">
        <f>D28+D27+D26+D25+D24+D23+D22+D21+D20+D17+D14</f>
        <v>278195</v>
      </c>
      <c r="E29" s="443">
        <f>E28+E27+E26+E25+E24+E23+E22+E21+E20+E17+E14</f>
        <v>345228</v>
      </c>
      <c r="F29" s="436">
        <f t="shared" si="1"/>
        <v>1037912</v>
      </c>
      <c r="G29" s="443">
        <f>G28+G27+G26+G25+G24+G23+G22+G21+G20+G17+G14</f>
        <v>387328</v>
      </c>
      <c r="H29" s="443">
        <f>H28+H27+H26+H25+H24+H23+H22+H21+H20+H17+H14</f>
        <v>139130</v>
      </c>
      <c r="I29" s="443">
        <f>I28+I27+I26+I25+I24+I23+I22+I21+I20+I17+I14</f>
        <v>117989</v>
      </c>
      <c r="J29" s="436">
        <f t="shared" si="2"/>
        <v>644447</v>
      </c>
      <c r="K29" s="443">
        <f>K28+K27+K26+K25+K24+K23+K22+K21+K20+K17+K14</f>
        <v>334546</v>
      </c>
      <c r="L29" s="443">
        <f>L28+L27+L26+L25+L24+L23+L22+L21+L20+L17+L14</f>
        <v>117223</v>
      </c>
      <c r="M29" s="443">
        <f>M28+M27+M26+M25+M24+M23+M22+M21+M20+M17+M14</f>
        <v>107892</v>
      </c>
      <c r="N29" s="436">
        <f t="shared" si="3"/>
        <v>559661</v>
      </c>
      <c r="O29" s="443">
        <f>O28+O27+O26+O25+O24+O23+O22+O21+O20+O17+O14</f>
        <v>420504</v>
      </c>
      <c r="P29" s="443">
        <f>P28+P27+P26+P25+P24+P23+P22+P21+P20+P17+P14</f>
        <v>242338</v>
      </c>
      <c r="Q29" s="443">
        <f>Q28+Q27+Q26+Q25+Q24+Q23+Q22+Q21+Q20+Q17+Q14</f>
        <v>320316</v>
      </c>
      <c r="R29" s="436">
        <f t="shared" si="4"/>
        <v>983158</v>
      </c>
      <c r="S29" s="371">
        <f t="shared" si="5"/>
        <v>3225178</v>
      </c>
      <c r="T29" s="245">
        <f>проверка!D12+проверка!D13+проверка!D14+проверка!D15+проверка!D16+проверка!D17+проверка!D18+проверка!D19+проверка!D20+проверка!D21+проверка!D22</f>
        <v>3225178</v>
      </c>
      <c r="U29" s="270">
        <f t="shared" si="0"/>
        <v>0</v>
      </c>
    </row>
    <row r="30" spans="1:21" ht="13.5">
      <c r="A30" s="256" t="s">
        <v>349</v>
      </c>
      <c r="B30" s="257"/>
      <c r="C30" s="444">
        <f>C5+C8+C15+C18+C11+C12+C10</f>
        <v>304000.27</v>
      </c>
      <c r="D30" s="444">
        <f>D5+D8+D15+D18+D11+D12+D10</f>
        <v>989520.68</v>
      </c>
      <c r="E30" s="444">
        <f>E5+E8+E15+E18+E11+E12+E10</f>
        <v>994861.68</v>
      </c>
      <c r="F30" s="445">
        <f t="shared" si="1"/>
        <v>2288382.6300000004</v>
      </c>
      <c r="G30" s="444">
        <f>G5+G8+G15+G18+G11+G12+G10</f>
        <v>1752399.09</v>
      </c>
      <c r="H30" s="444">
        <f>H5+H8+H15+H18+H11+H12+H10</f>
        <v>790568.61</v>
      </c>
      <c r="I30" s="444">
        <f>I5+I8+I15+I18+I11+I12+I10</f>
        <v>1589622.02</v>
      </c>
      <c r="J30" s="445">
        <f t="shared" si="2"/>
        <v>4132589.72</v>
      </c>
      <c r="K30" s="444">
        <f>K5+K8+K15+K18+K11+K12+K10</f>
        <v>395808.27</v>
      </c>
      <c r="L30" s="444">
        <f>L5+L8+L15+L18+L11+L12+L10</f>
        <v>333312.41</v>
      </c>
      <c r="M30" s="444">
        <f>M5+M8+M15+M18+M11+M12+M10</f>
        <v>532263.35</v>
      </c>
      <c r="N30" s="445">
        <f t="shared" si="3"/>
        <v>1261384.0299999998</v>
      </c>
      <c r="O30" s="444">
        <f>O5+O8+O15+O18+O11+O12+O10</f>
        <v>1796881.76</v>
      </c>
      <c r="P30" s="444">
        <f>P5+P8+P15+P18+P11+P12+P10</f>
        <v>312602.94</v>
      </c>
      <c r="Q30" s="444">
        <f>Q5+Q8+Q15+Q18+Q11+Q12+Q10</f>
        <v>2348445.92</v>
      </c>
      <c r="R30" s="445">
        <f t="shared" si="4"/>
        <v>4457930.62</v>
      </c>
      <c r="S30" s="373">
        <f>R30+N30+J30+F30</f>
        <v>12140287.000000002</v>
      </c>
      <c r="T30" s="245">
        <f>свод!F14</f>
        <v>12140287</v>
      </c>
      <c r="U30" s="270">
        <f t="shared" si="0"/>
        <v>0</v>
      </c>
    </row>
    <row r="31" spans="1:21" ht="13.5">
      <c r="A31" s="240" t="s">
        <v>171</v>
      </c>
      <c r="B31" s="249"/>
      <c r="C31" s="446">
        <f>C5+C8+C10+C11+C12</f>
        <v>304000.27</v>
      </c>
      <c r="D31" s="446">
        <f>D5+D8+D10+D11+D12</f>
        <v>989520.68</v>
      </c>
      <c r="E31" s="446">
        <f>E5+E8+E10+E11+E12</f>
        <v>994861.68</v>
      </c>
      <c r="F31" s="427">
        <f t="shared" si="1"/>
        <v>2288382.6300000004</v>
      </c>
      <c r="G31" s="446">
        <f>G5+G8+G10+G11+G12</f>
        <v>1752399.09</v>
      </c>
      <c r="H31" s="446">
        <f>H5+H8+H10+H11+H12</f>
        <v>790568.61</v>
      </c>
      <c r="I31" s="446">
        <f>I5+I8+I10+I11+I12</f>
        <v>1589622.02</v>
      </c>
      <c r="J31" s="427">
        <f t="shared" si="2"/>
        <v>4132589.72</v>
      </c>
      <c r="K31" s="446">
        <f>K5+K8+K10+K11+K12</f>
        <v>395808.27</v>
      </c>
      <c r="L31" s="446">
        <f>L5+L8+L10+L11+L12</f>
        <v>333312.41</v>
      </c>
      <c r="M31" s="446">
        <f>M5+M8+M10+M11+M12</f>
        <v>532263.35</v>
      </c>
      <c r="N31" s="427">
        <f t="shared" si="3"/>
        <v>1261384.0299999998</v>
      </c>
      <c r="O31" s="446">
        <f>O5+O8+O10+O11+O12</f>
        <v>1796881.76</v>
      </c>
      <c r="P31" s="446">
        <f>P5+P8+P10+P11+P12</f>
        <v>312602.94</v>
      </c>
      <c r="Q31" s="446">
        <f>Q5+Q8+Q10+Q11+Q12</f>
        <v>2348445.92</v>
      </c>
      <c r="R31" s="427">
        <f t="shared" si="4"/>
        <v>4457930.62</v>
      </c>
      <c r="S31" s="347">
        <f t="shared" si="5"/>
        <v>12140287.000000002</v>
      </c>
      <c r="T31" s="245">
        <f>свод!F25</f>
        <v>12140287</v>
      </c>
      <c r="U31" s="270">
        <f t="shared" si="0"/>
        <v>0</v>
      </c>
    </row>
    <row r="32" spans="1:21" s="250" customFormat="1" ht="13.5">
      <c r="A32" s="240" t="s">
        <v>172</v>
      </c>
      <c r="B32" s="248"/>
      <c r="C32" s="446">
        <f>C15+C18</f>
        <v>0</v>
      </c>
      <c r="D32" s="446">
        <f>D15+D18</f>
        <v>0</v>
      </c>
      <c r="E32" s="446">
        <f>E15+E18</f>
        <v>0</v>
      </c>
      <c r="F32" s="427">
        <f t="shared" si="1"/>
        <v>0</v>
      </c>
      <c r="G32" s="446">
        <f>G15+G18</f>
        <v>0</v>
      </c>
      <c r="H32" s="446">
        <f>H15+H18</f>
        <v>0</v>
      </c>
      <c r="I32" s="446">
        <f>I15+I18</f>
        <v>0</v>
      </c>
      <c r="J32" s="427">
        <f t="shared" si="2"/>
        <v>0</v>
      </c>
      <c r="K32" s="446">
        <f>K15+K18</f>
        <v>0</v>
      </c>
      <c r="L32" s="446">
        <f>L15+L18</f>
        <v>0</v>
      </c>
      <c r="M32" s="446">
        <f>M15+M18</f>
        <v>0</v>
      </c>
      <c r="N32" s="427">
        <f t="shared" si="3"/>
        <v>0</v>
      </c>
      <c r="O32" s="446">
        <f>O15+O18</f>
        <v>0</v>
      </c>
      <c r="P32" s="446">
        <f>P15+P18</f>
        <v>0</v>
      </c>
      <c r="Q32" s="446">
        <f>Q15+Q18</f>
        <v>0</v>
      </c>
      <c r="R32" s="427">
        <f t="shared" si="4"/>
        <v>0</v>
      </c>
      <c r="S32" s="347">
        <f t="shared" si="5"/>
        <v>0</v>
      </c>
      <c r="T32" s="251">
        <f>свод!F19</f>
        <v>0</v>
      </c>
      <c r="U32" s="270">
        <f t="shared" si="0"/>
        <v>0</v>
      </c>
    </row>
    <row r="33" spans="1:21" s="250" customFormat="1" ht="6" customHeight="1">
      <c r="A33" s="240"/>
      <c r="B33" s="248"/>
      <c r="C33" s="447"/>
      <c r="D33" s="447"/>
      <c r="E33" s="447"/>
      <c r="F33" s="440"/>
      <c r="G33" s="447"/>
      <c r="H33" s="447"/>
      <c r="I33" s="447"/>
      <c r="J33" s="440"/>
      <c r="K33" s="447"/>
      <c r="L33" s="447"/>
      <c r="M33" s="447"/>
      <c r="N33" s="440"/>
      <c r="O33" s="447"/>
      <c r="P33" s="447"/>
      <c r="Q33" s="447"/>
      <c r="R33" s="440"/>
      <c r="S33" s="351"/>
      <c r="U33" s="270"/>
    </row>
    <row r="34" spans="1:21" ht="13.5">
      <c r="A34" s="256" t="s">
        <v>351</v>
      </c>
      <c r="B34" s="260"/>
      <c r="C34" s="448">
        <f>C6+C9+C16+C19+C20+C21+C22+C23+C24+C25+C27+C28</f>
        <v>369578.73</v>
      </c>
      <c r="D34" s="448">
        <f>D6+D9+D16+D19+D20+D21+D22+D23+D24+D25+D27+D28</f>
        <v>752436.32</v>
      </c>
      <c r="E34" s="448">
        <f>E6+E9+E16+E19+E20+E21+E22+E23+E24+E25+E27+E28</f>
        <v>787584.32</v>
      </c>
      <c r="F34" s="449">
        <f t="shared" si="1"/>
        <v>1909599.3699999996</v>
      </c>
      <c r="G34" s="448">
        <f>G6+G9+G16+G19+G20+G21+G22+G23+G24+G25+G27+G28</f>
        <v>959432.9099999999</v>
      </c>
      <c r="H34" s="448">
        <f>H6+H9+H16+H19+H20+H21+H22+H23+H24+H25+H27+H28</f>
        <v>958699.39</v>
      </c>
      <c r="I34" s="448">
        <f>I6+I9+I16+I19+I20+I21+I22+I23+I24+I25+I27+I28</f>
        <v>1032671.98</v>
      </c>
      <c r="J34" s="449">
        <f>SUM(G34:I34)</f>
        <v>2950804.28</v>
      </c>
      <c r="K34" s="448">
        <f>K6+K9+K16+K19+K20+K21+K22+K23+K24+K25+K27+K28</f>
        <v>424960.73</v>
      </c>
      <c r="L34" s="448">
        <f>L6+L9+L16+L19+L20+L21+L22+L23+L24+L25+L27+L28</f>
        <v>223039.59000000003</v>
      </c>
      <c r="M34" s="448">
        <f>M6+M9+M16+M19+M20+M21+M22+M23+M24+M25+M27+M28</f>
        <v>627785.65</v>
      </c>
      <c r="N34" s="449">
        <f>SUM(K34:M34)</f>
        <v>1275785.9700000002</v>
      </c>
      <c r="O34" s="448">
        <f>O6+O9+O16+O19+O20+O21+O22+O23+O24+O25+O27+O28</f>
        <v>942954.24</v>
      </c>
      <c r="P34" s="448">
        <f>P6+P9+P16+P19+P20+P21+P22+P23+P24+P25+P27+P28</f>
        <v>459891.06</v>
      </c>
      <c r="Q34" s="448">
        <f>Q6+Q9+Q16+Q19+Q20+Q21+Q22+Q23+Q24+Q25+Q27+Q28</f>
        <v>513683.0800000001</v>
      </c>
      <c r="R34" s="449">
        <f>SUM(O34:Q34)</f>
        <v>1916528.3800000001</v>
      </c>
      <c r="S34" s="350">
        <f t="shared" si="5"/>
        <v>8052718</v>
      </c>
      <c r="T34" s="245">
        <f>свод!F123</f>
        <v>8052718</v>
      </c>
      <c r="U34" s="270">
        <f t="shared" si="0"/>
        <v>0</v>
      </c>
    </row>
    <row r="35" spans="1:21" ht="13.5">
      <c r="A35" s="249" t="s">
        <v>171</v>
      </c>
      <c r="C35" s="450">
        <f>C6+C9</f>
        <v>145695.72999999998</v>
      </c>
      <c r="D35" s="450">
        <f>D6+D9</f>
        <v>474241.31999999995</v>
      </c>
      <c r="E35" s="450">
        <f>E6+E9</f>
        <v>474240.31999999995</v>
      </c>
      <c r="F35" s="427">
        <f t="shared" si="1"/>
        <v>1094177.3699999999</v>
      </c>
      <c r="G35" s="450">
        <f>G6+G9</f>
        <v>794594.9099999999</v>
      </c>
      <c r="H35" s="450">
        <f>H6+H9</f>
        <v>819569.39</v>
      </c>
      <c r="I35" s="450">
        <f>I6+I9</f>
        <v>914682.98</v>
      </c>
      <c r="J35" s="427">
        <f>SUM(G35:I35)</f>
        <v>2528847.28</v>
      </c>
      <c r="K35" s="450">
        <f>K6+K9</f>
        <v>325504.73</v>
      </c>
      <c r="L35" s="450">
        <f>L6+L9</f>
        <v>105816.59000000003</v>
      </c>
      <c r="M35" s="450">
        <f>M6+M9</f>
        <v>519893.65</v>
      </c>
      <c r="N35" s="427">
        <f>SUM(K35:M35)</f>
        <v>951214.97</v>
      </c>
      <c r="O35" s="450">
        <f>O6+O9</f>
        <v>744940.24</v>
      </c>
      <c r="P35" s="450">
        <f>P6+P9</f>
        <v>217553.06</v>
      </c>
      <c r="Q35" s="450">
        <f>Q6+Q9</f>
        <v>193367.08000000007</v>
      </c>
      <c r="R35" s="427">
        <f>SUM(O35:Q35)</f>
        <v>1155860.3800000001</v>
      </c>
      <c r="S35" s="347">
        <f t="shared" si="5"/>
        <v>5730100</v>
      </c>
      <c r="T35" s="245">
        <f>свод!F37</f>
        <v>5730100</v>
      </c>
      <c r="U35" s="270">
        <f t="shared" si="0"/>
        <v>0</v>
      </c>
    </row>
    <row r="36" spans="1:21" ht="13.5">
      <c r="A36" s="240" t="s">
        <v>172</v>
      </c>
      <c r="C36" s="450">
        <f>C16+C19+C20+C21+C22+C23+C24+C25+C27+C28</f>
        <v>223883</v>
      </c>
      <c r="D36" s="450">
        <f>D16+D19+D20+D21+D22+D23+D24+D25+D27+D28</f>
        <v>278195</v>
      </c>
      <c r="E36" s="450">
        <f>E16+E19+E20+E21+E22+E23+E24+E25+E27+E28</f>
        <v>313344</v>
      </c>
      <c r="F36" s="427">
        <f t="shared" si="1"/>
        <v>815422</v>
      </c>
      <c r="G36" s="450">
        <f>G16+G19+G20+G21+G22+G23+G24+G25+G27+G28</f>
        <v>164838</v>
      </c>
      <c r="H36" s="450">
        <f>H16+H19+H20+H21+H22+H23+H24+H25+H27+H28</f>
        <v>139130</v>
      </c>
      <c r="I36" s="450">
        <f>I16+I19+I20+I21+I22+I23+I24+I25+I27+I28</f>
        <v>117989</v>
      </c>
      <c r="J36" s="427">
        <f>SUM(G36:I36)</f>
        <v>421957</v>
      </c>
      <c r="K36" s="450">
        <f>K16+K19+K20+K21+K22+K23+K24+K25+K27+K28</f>
        <v>99456</v>
      </c>
      <c r="L36" s="450">
        <f>L16+L19+L20+L21+L22+L23+L24+L25+L27+L28</f>
        <v>117223</v>
      </c>
      <c r="M36" s="450">
        <f>M16+M19+M20+M21+M22+M23+M24+M25+M27+M28</f>
        <v>107892</v>
      </c>
      <c r="N36" s="427">
        <f>SUM(K36:M36)</f>
        <v>324571</v>
      </c>
      <c r="O36" s="450">
        <f>O16+O19+O20+O21+O22+O23+O24+O25+O27+O28</f>
        <v>198014</v>
      </c>
      <c r="P36" s="450">
        <f>P16+P19+P20+P21+P22+P23+P24+P25+P27+P28</f>
        <v>242338</v>
      </c>
      <c r="Q36" s="450">
        <f>Q16+Q19+Q20+Q21+Q22+Q23+Q24+Q25+Q27+Q28</f>
        <v>320316</v>
      </c>
      <c r="R36" s="427">
        <f>SUM(O36:Q36)</f>
        <v>760668</v>
      </c>
      <c r="S36" s="347">
        <f t="shared" si="5"/>
        <v>2322618</v>
      </c>
      <c r="T36" s="245">
        <f>свод!F43+свод!F58+свод!F86+свод!F96+свод!F101+свод!F107+свод!F110+свод!F114+свод!F122</f>
        <v>2322618</v>
      </c>
      <c r="U36" s="270">
        <f t="shared" si="0"/>
        <v>0</v>
      </c>
    </row>
    <row r="37" spans="3:21" ht="5.25" customHeight="1">
      <c r="C37" s="450"/>
      <c r="D37" s="450"/>
      <c r="E37" s="450"/>
      <c r="F37" s="440"/>
      <c r="G37" s="450"/>
      <c r="H37" s="450"/>
      <c r="I37" s="450"/>
      <c r="J37" s="440"/>
      <c r="K37" s="450"/>
      <c r="L37" s="450"/>
      <c r="M37" s="450"/>
      <c r="N37" s="440"/>
      <c r="O37" s="450"/>
      <c r="P37" s="450"/>
      <c r="Q37" s="450"/>
      <c r="R37" s="440"/>
      <c r="S37" s="351"/>
      <c r="U37" s="270"/>
    </row>
    <row r="38" spans="1:21" s="249" customFormat="1" ht="13.5">
      <c r="A38" s="256" t="s">
        <v>352</v>
      </c>
      <c r="B38" s="257"/>
      <c r="C38" s="444">
        <f>C26</f>
        <v>190606</v>
      </c>
      <c r="D38" s="444">
        <f>D26</f>
        <v>0</v>
      </c>
      <c r="E38" s="444">
        <f>E26</f>
        <v>31884</v>
      </c>
      <c r="F38" s="449">
        <f t="shared" si="1"/>
        <v>222490</v>
      </c>
      <c r="G38" s="444">
        <f>G26</f>
        <v>222490</v>
      </c>
      <c r="H38" s="444">
        <f>H26</f>
        <v>0</v>
      </c>
      <c r="I38" s="444">
        <f>I26</f>
        <v>0</v>
      </c>
      <c r="J38" s="449">
        <f>SUM(G38:I38)</f>
        <v>222490</v>
      </c>
      <c r="K38" s="444">
        <f>K26</f>
        <v>235090</v>
      </c>
      <c r="L38" s="444">
        <f>L26</f>
        <v>0</v>
      </c>
      <c r="M38" s="444">
        <f>M26</f>
        <v>0</v>
      </c>
      <c r="N38" s="449">
        <f>SUM(K38:M38)</f>
        <v>235090</v>
      </c>
      <c r="O38" s="444">
        <f>O26</f>
        <v>222490</v>
      </c>
      <c r="P38" s="444">
        <f>P26</f>
        <v>0</v>
      </c>
      <c r="Q38" s="444">
        <f>Q26</f>
        <v>0</v>
      </c>
      <c r="R38" s="449">
        <f>SUM(O38:Q38)</f>
        <v>222490</v>
      </c>
      <c r="S38" s="350">
        <f t="shared" si="5"/>
        <v>902560</v>
      </c>
      <c r="T38" s="268">
        <f>свод!F133</f>
        <v>902560</v>
      </c>
      <c r="U38" s="270">
        <f t="shared" si="0"/>
        <v>0</v>
      </c>
    </row>
    <row r="39" spans="1:21" s="232" customFormat="1" ht="13.5">
      <c r="A39" s="240" t="s">
        <v>172</v>
      </c>
      <c r="C39" s="451">
        <f>C26</f>
        <v>190606</v>
      </c>
      <c r="D39" s="451">
        <f>D26</f>
        <v>0</v>
      </c>
      <c r="E39" s="451">
        <f>E26</f>
        <v>31884</v>
      </c>
      <c r="F39" s="427">
        <f t="shared" si="1"/>
        <v>222490</v>
      </c>
      <c r="G39" s="451">
        <f>G26</f>
        <v>222490</v>
      </c>
      <c r="H39" s="451">
        <f>H26</f>
        <v>0</v>
      </c>
      <c r="I39" s="451">
        <f>I26</f>
        <v>0</v>
      </c>
      <c r="J39" s="427">
        <f>SUM(G39:I39)</f>
        <v>222490</v>
      </c>
      <c r="K39" s="451">
        <f>K26</f>
        <v>235090</v>
      </c>
      <c r="L39" s="451">
        <f>L26</f>
        <v>0</v>
      </c>
      <c r="M39" s="451">
        <f>M26</f>
        <v>0</v>
      </c>
      <c r="N39" s="427">
        <f>SUM(K39:M39)</f>
        <v>235090</v>
      </c>
      <c r="O39" s="451">
        <f>O26</f>
        <v>222490</v>
      </c>
      <c r="P39" s="451">
        <f>P26</f>
        <v>0</v>
      </c>
      <c r="Q39" s="451">
        <f>Q26</f>
        <v>0</v>
      </c>
      <c r="R39" s="427">
        <f>SUM(O39:Q39)</f>
        <v>222490</v>
      </c>
      <c r="S39" s="347">
        <f t="shared" si="5"/>
        <v>902560</v>
      </c>
      <c r="T39" s="253">
        <f>свод!F133</f>
        <v>902560</v>
      </c>
      <c r="U39" s="270">
        <f t="shared" si="0"/>
        <v>0</v>
      </c>
    </row>
    <row r="40" spans="1:21" s="258" customFormat="1" ht="13.5">
      <c r="A40" s="261" t="s">
        <v>173</v>
      </c>
      <c r="B40" s="262"/>
      <c r="C40" s="452">
        <f>C30+C34+C38</f>
        <v>864185</v>
      </c>
      <c r="D40" s="452">
        <f>D30+D34+D38</f>
        <v>1741957</v>
      </c>
      <c r="E40" s="452">
        <f>E30+E34+E38</f>
        <v>1814330</v>
      </c>
      <c r="F40" s="449">
        <f t="shared" si="1"/>
        <v>4420472</v>
      </c>
      <c r="G40" s="452">
        <f>G30+G34+G38</f>
        <v>2934322</v>
      </c>
      <c r="H40" s="452">
        <f>H30+H34+H38</f>
        <v>1749268</v>
      </c>
      <c r="I40" s="452">
        <f>I30+I34+I38</f>
        <v>2622294</v>
      </c>
      <c r="J40" s="449">
        <f>SUM(G40:I40)</f>
        <v>7305884</v>
      </c>
      <c r="K40" s="452">
        <f>K30+K34+K38</f>
        <v>1055859</v>
      </c>
      <c r="L40" s="452">
        <f>L30+L34+L38</f>
        <v>556352</v>
      </c>
      <c r="M40" s="452">
        <f>M30+M34+M38</f>
        <v>1160049</v>
      </c>
      <c r="N40" s="449">
        <f>SUM(K40:M40)</f>
        <v>2772260</v>
      </c>
      <c r="O40" s="452">
        <f>O30+O34+O38</f>
        <v>2962326</v>
      </c>
      <c r="P40" s="452">
        <f>P30+P34+P38</f>
        <v>772494</v>
      </c>
      <c r="Q40" s="452">
        <f>Q30+Q34+Q38</f>
        <v>2862129</v>
      </c>
      <c r="R40" s="449">
        <f>SUM(O40:Q40)</f>
        <v>6596949</v>
      </c>
      <c r="S40" s="350">
        <f t="shared" si="5"/>
        <v>21095565</v>
      </c>
      <c r="T40" s="259">
        <f>свод!F134</f>
        <v>21095565</v>
      </c>
      <c r="U40" s="270">
        <f t="shared" si="0"/>
        <v>0</v>
      </c>
    </row>
    <row r="41" spans="1:19" s="232" customFormat="1" ht="12.75">
      <c r="A41" s="252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353"/>
    </row>
    <row r="42" spans="1:19" s="232" customFormat="1" ht="12.75">
      <c r="A42" s="254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353"/>
    </row>
    <row r="43" spans="1:19" s="232" customFormat="1" ht="12.75">
      <c r="A43" s="252" t="s">
        <v>174</v>
      </c>
      <c r="C43" s="451"/>
      <c r="D43" s="451" t="s">
        <v>462</v>
      </c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353"/>
    </row>
    <row r="44" spans="3:19" s="232" customFormat="1" ht="12.75"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353"/>
    </row>
    <row r="45" spans="1:19" s="232" customFormat="1" ht="15" customHeight="1">
      <c r="A45" s="232" t="s">
        <v>175</v>
      </c>
      <c r="C45" s="451"/>
      <c r="D45" s="636" t="s">
        <v>463</v>
      </c>
      <c r="E45" s="636"/>
      <c r="F45" s="636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353"/>
    </row>
    <row r="46" spans="1:19" ht="12.75">
      <c r="A46" s="232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352"/>
    </row>
    <row r="47" spans="1:19" ht="12.75">
      <c r="A47" s="232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352"/>
    </row>
    <row r="48" spans="3:19" ht="12.75"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352"/>
    </row>
    <row r="49" spans="1:19" ht="12.75">
      <c r="A49" s="240" t="s">
        <v>457</v>
      </c>
      <c r="C49" s="450">
        <v>449696</v>
      </c>
      <c r="D49" s="450">
        <v>1463762</v>
      </c>
      <c r="E49" s="450">
        <v>1469103</v>
      </c>
      <c r="F49" s="450">
        <f>C49+D49+E49</f>
        <v>3382561</v>
      </c>
      <c r="G49" s="450">
        <v>2546994</v>
      </c>
      <c r="H49" s="450">
        <v>1610138</v>
      </c>
      <c r="I49" s="450">
        <v>2504303</v>
      </c>
      <c r="J49" s="450">
        <f>G49+H49+I49</f>
        <v>6661435</v>
      </c>
      <c r="K49" s="450">
        <v>721313</v>
      </c>
      <c r="L49" s="450">
        <v>439129</v>
      </c>
      <c r="M49" s="450">
        <v>1052156</v>
      </c>
      <c r="N49" s="450">
        <f>K49+L49+M49</f>
        <v>2212598</v>
      </c>
      <c r="O49" s="450">
        <v>2541822</v>
      </c>
      <c r="P49" s="450">
        <v>530156</v>
      </c>
      <c r="Q49" s="450">
        <v>2541815</v>
      </c>
      <c r="R49" s="450">
        <f>O49+P49+Q49</f>
        <v>5613793</v>
      </c>
      <c r="S49" s="352"/>
    </row>
    <row r="50" spans="3:19" ht="12.75">
      <c r="C50" s="450">
        <f>C49-C13</f>
        <v>0</v>
      </c>
      <c r="D50" s="450">
        <f aca="true" t="shared" si="6" ref="D50:R50">D49-D13</f>
        <v>0</v>
      </c>
      <c r="E50" s="450">
        <f t="shared" si="6"/>
        <v>1</v>
      </c>
      <c r="F50" s="450">
        <f t="shared" si="6"/>
        <v>1</v>
      </c>
      <c r="G50" s="450">
        <f t="shared" si="6"/>
        <v>0</v>
      </c>
      <c r="H50" s="450">
        <f t="shared" si="6"/>
        <v>0</v>
      </c>
      <c r="I50" s="450">
        <f t="shared" si="6"/>
        <v>-2</v>
      </c>
      <c r="J50" s="450">
        <f t="shared" si="6"/>
        <v>-2</v>
      </c>
      <c r="K50" s="450">
        <f t="shared" si="6"/>
        <v>0</v>
      </c>
      <c r="L50" s="450">
        <f t="shared" si="6"/>
        <v>0</v>
      </c>
      <c r="M50" s="450">
        <f t="shared" si="6"/>
        <v>-1</v>
      </c>
      <c r="N50" s="450">
        <f t="shared" si="6"/>
        <v>-1</v>
      </c>
      <c r="O50" s="450">
        <f t="shared" si="6"/>
        <v>0</v>
      </c>
      <c r="P50" s="450">
        <f t="shared" si="6"/>
        <v>0</v>
      </c>
      <c r="Q50" s="450">
        <f t="shared" si="6"/>
        <v>2</v>
      </c>
      <c r="R50" s="450">
        <f t="shared" si="6"/>
        <v>2</v>
      </c>
      <c r="S50" s="352"/>
    </row>
    <row r="51" spans="3:19" ht="12.75"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</row>
    <row r="52" spans="2:19" ht="12.75">
      <c r="B52" s="240">
        <v>211</v>
      </c>
      <c r="C52" s="352">
        <v>0.4</v>
      </c>
      <c r="D52" s="352">
        <v>1</v>
      </c>
      <c r="E52" s="352">
        <v>1</v>
      </c>
      <c r="F52" s="352"/>
      <c r="G52" s="352">
        <v>1.6</v>
      </c>
      <c r="H52" s="352">
        <v>0.9</v>
      </c>
      <c r="I52" s="352">
        <v>1.5</v>
      </c>
      <c r="J52" s="352"/>
      <c r="K52" s="352">
        <v>0.4</v>
      </c>
      <c r="L52" s="352">
        <v>0.6</v>
      </c>
      <c r="M52" s="352">
        <v>1</v>
      </c>
      <c r="N52" s="352"/>
      <c r="O52" s="352">
        <v>1.6</v>
      </c>
      <c r="P52" s="352">
        <v>0.4</v>
      </c>
      <c r="Q52" s="352">
        <v>1.6</v>
      </c>
      <c r="R52" s="352"/>
      <c r="S52" s="352"/>
    </row>
    <row r="53" spans="2:17" ht="12.75">
      <c r="B53" s="240">
        <v>213</v>
      </c>
      <c r="C53" s="240">
        <v>0</v>
      </c>
      <c r="D53" s="240">
        <v>1</v>
      </c>
      <c r="E53" s="240">
        <v>1</v>
      </c>
      <c r="G53" s="240">
        <v>2</v>
      </c>
      <c r="H53" s="240">
        <v>0.5</v>
      </c>
      <c r="I53" s="240">
        <v>1.5</v>
      </c>
      <c r="K53" s="240">
        <v>0.8</v>
      </c>
      <c r="L53" s="240">
        <v>0.4</v>
      </c>
      <c r="M53" s="240">
        <v>0.8</v>
      </c>
      <c r="O53" s="240">
        <v>2</v>
      </c>
      <c r="P53" s="240">
        <v>0</v>
      </c>
      <c r="Q53" s="240">
        <v>2</v>
      </c>
    </row>
  </sheetData>
  <sheetProtection/>
  <mergeCells count="4">
    <mergeCell ref="A1:S1"/>
    <mergeCell ref="B2:B3"/>
    <mergeCell ref="C2:R2"/>
    <mergeCell ref="D45:F45"/>
  </mergeCells>
  <printOptions/>
  <pageMargins left="0" right="0" top="0" bottom="0.34" header="0.31496062992125984" footer="0.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0">
      <selection activeCell="F63" sqref="F63"/>
    </sheetView>
  </sheetViews>
  <sheetFormatPr defaultColWidth="9.140625" defaultRowHeight="15"/>
  <cols>
    <col min="1" max="1" width="18.140625" style="60" customWidth="1"/>
    <col min="2" max="2" width="14.140625" style="60" customWidth="1"/>
    <col min="3" max="3" width="15.421875" style="60" customWidth="1"/>
    <col min="4" max="4" width="11.7109375" style="60" customWidth="1"/>
    <col min="5" max="5" width="12.140625" style="60" customWidth="1"/>
    <col min="6" max="6" width="10.8515625" style="60" customWidth="1"/>
    <col min="7" max="7" width="12.8515625" style="60" customWidth="1"/>
    <col min="8" max="8" width="9.140625" style="60" customWidth="1"/>
    <col min="9" max="9" width="10.140625" style="60" customWidth="1"/>
    <col min="10" max="10" width="10.8515625" style="60" bestFit="1" customWidth="1"/>
    <col min="11" max="16384" width="9.140625" style="61" customWidth="1"/>
  </cols>
  <sheetData>
    <row r="1" spans="6:7" ht="12.75">
      <c r="F1" s="638" t="s">
        <v>183</v>
      </c>
      <c r="G1" s="638"/>
    </row>
    <row r="2" spans="1:10" s="58" customFormat="1" ht="35.25" customHeight="1">
      <c r="A2" s="639" t="s">
        <v>184</v>
      </c>
      <c r="B2" s="639"/>
      <c r="C2" s="639"/>
      <c r="D2" s="639"/>
      <c r="E2" s="639"/>
      <c r="F2" s="639"/>
      <c r="G2" s="639"/>
      <c r="H2" s="57"/>
      <c r="I2" s="57"/>
      <c r="J2" s="57"/>
    </row>
    <row r="3" spans="1:7" ht="11.25" customHeight="1">
      <c r="A3" s="59"/>
      <c r="B3" s="59"/>
      <c r="C3" s="59"/>
      <c r="D3" s="59"/>
      <c r="E3" s="59"/>
      <c r="F3" s="640"/>
      <c r="G3" s="640"/>
    </row>
    <row r="4" spans="1:7" ht="48" customHeight="1">
      <c r="A4" s="637" t="s">
        <v>323</v>
      </c>
      <c r="B4" s="637"/>
      <c r="C4" s="637"/>
      <c r="D4" s="637"/>
      <c r="E4" s="637"/>
      <c r="F4" s="637"/>
      <c r="G4" s="637"/>
    </row>
    <row r="5" spans="1:7" ht="38.25">
      <c r="A5" s="62" t="s">
        <v>330</v>
      </c>
      <c r="B5" s="62" t="s">
        <v>185</v>
      </c>
      <c r="C5" s="62" t="s">
        <v>186</v>
      </c>
      <c r="D5" s="62" t="s">
        <v>187</v>
      </c>
      <c r="E5" s="62" t="s">
        <v>188</v>
      </c>
      <c r="F5" s="62" t="s">
        <v>189</v>
      </c>
      <c r="G5" s="62" t="s">
        <v>190</v>
      </c>
    </row>
    <row r="6" spans="1:11" ht="12.75">
      <c r="A6" s="62">
        <f>M10</f>
        <v>0</v>
      </c>
      <c r="B6" s="62">
        <f>P10</f>
        <v>0</v>
      </c>
      <c r="C6" s="62">
        <f>Q10</f>
        <v>0</v>
      </c>
      <c r="D6" s="62">
        <v>12</v>
      </c>
      <c r="E6" s="62">
        <v>1</v>
      </c>
      <c r="F6" s="62">
        <f>ROUND((A6*B6*C6)*D6*E6,0)</f>
        <v>0</v>
      </c>
      <c r="G6" s="62">
        <f>ROUND(F6*30.2%,0)</f>
        <v>0</v>
      </c>
      <c r="K6" s="61" t="s">
        <v>335</v>
      </c>
    </row>
    <row r="7" spans="1:10" ht="12.75">
      <c r="A7" s="62">
        <f>M14</f>
        <v>0</v>
      </c>
      <c r="B7" s="62">
        <f>P14</f>
        <v>0</v>
      </c>
      <c r="C7" s="62">
        <f>Q14</f>
        <v>0</v>
      </c>
      <c r="D7" s="62"/>
      <c r="E7" s="62">
        <v>1</v>
      </c>
      <c r="F7" s="62">
        <f>ROUND((A7*B7*C7)*D7*E7,2)</f>
        <v>0</v>
      </c>
      <c r="G7" s="62">
        <f>ROUND(F7*30.2%,0)</f>
        <v>0</v>
      </c>
      <c r="J7" s="60" t="s">
        <v>341</v>
      </c>
    </row>
    <row r="8" spans="1:17" ht="12.75">
      <c r="A8" s="62">
        <f>M18</f>
        <v>0</v>
      </c>
      <c r="B8" s="62">
        <f>P18</f>
        <v>0</v>
      </c>
      <c r="C8" s="62">
        <f>Q18</f>
        <v>0</v>
      </c>
      <c r="D8" s="62"/>
      <c r="E8" s="62">
        <v>1</v>
      </c>
      <c r="F8" s="62">
        <f>ROUND((A8*B8*C8)*D8*E8,2)</f>
        <v>0</v>
      </c>
      <c r="G8" s="62">
        <f>ROUND(F8*30.2%,0)</f>
        <v>0</v>
      </c>
      <c r="J8" s="220"/>
      <c r="K8" s="52"/>
      <c r="L8" s="220" t="s">
        <v>336</v>
      </c>
      <c r="M8" s="220" t="s">
        <v>337</v>
      </c>
      <c r="N8" s="220" t="s">
        <v>338</v>
      </c>
      <c r="O8" s="220" t="s">
        <v>339</v>
      </c>
      <c r="P8" s="220"/>
      <c r="Q8" s="220"/>
    </row>
    <row r="9" spans="1:17" ht="12.75">
      <c r="A9" s="62">
        <f>M22</f>
        <v>0</v>
      </c>
      <c r="B9" s="62">
        <f>P22</f>
        <v>0</v>
      </c>
      <c r="C9" s="62">
        <f>Q22</f>
        <v>0</v>
      </c>
      <c r="D9" s="62"/>
      <c r="E9" s="62">
        <v>1</v>
      </c>
      <c r="F9" s="62">
        <f>ROUND((A9*B9*C9)*D9*E9,2)</f>
        <v>0</v>
      </c>
      <c r="G9" s="62">
        <f>ROUND(F9*30.2%,0)</f>
        <v>0</v>
      </c>
      <c r="J9" s="325">
        <v>41640</v>
      </c>
      <c r="K9" s="52" t="s">
        <v>264</v>
      </c>
      <c r="L9" s="221">
        <v>37568</v>
      </c>
      <c r="M9" s="221">
        <v>2</v>
      </c>
      <c r="N9" s="220">
        <f>L9-O9</f>
        <v>11384.96</v>
      </c>
      <c r="O9" s="221">
        <v>26183.04</v>
      </c>
      <c r="P9" s="220"/>
      <c r="Q9" s="220"/>
    </row>
    <row r="10" spans="1:17" ht="12.75">
      <c r="A10" s="62" t="s">
        <v>191</v>
      </c>
      <c r="B10" s="62"/>
      <c r="C10" s="62"/>
      <c r="D10" s="62"/>
      <c r="E10" s="62"/>
      <c r="F10" s="223">
        <f>SUM(F6:F9)</f>
        <v>0</v>
      </c>
      <c r="G10" s="223">
        <f>SUM(G6:G9)</f>
        <v>0</v>
      </c>
      <c r="J10" s="220"/>
      <c r="K10" s="220" t="s">
        <v>340</v>
      </c>
      <c r="L10" s="220">
        <f>O10+N10</f>
        <v>0</v>
      </c>
      <c r="M10" s="221">
        <v>0</v>
      </c>
      <c r="N10" s="221"/>
      <c r="O10" s="221">
        <v>0</v>
      </c>
      <c r="P10" s="220">
        <f>IF(M10=0,0,ROUND(N10/M10,2))</f>
        <v>0</v>
      </c>
      <c r="Q10" s="220">
        <f>IF(N10=0,0,O10/N10+1)</f>
        <v>0</v>
      </c>
    </row>
    <row r="11" spans="10:17" ht="28.5" customHeight="1">
      <c r="J11" s="220"/>
      <c r="K11" s="220" t="s">
        <v>302</v>
      </c>
      <c r="L11" s="220">
        <f>L9-L10</f>
        <v>37568</v>
      </c>
      <c r="M11" s="220">
        <f>M9-M10</f>
        <v>2</v>
      </c>
      <c r="N11" s="220">
        <f>N9-N10</f>
        <v>11384.96</v>
      </c>
      <c r="O11" s="220">
        <f>O9-O10</f>
        <v>26183.04</v>
      </c>
      <c r="P11" s="220">
        <f>IF(M11=0,0,ROUND(N11/M11,2))</f>
        <v>5692.48</v>
      </c>
      <c r="Q11" s="220">
        <f>IF(N11=0,0,O11/N11+1)</f>
        <v>3.299792006296026</v>
      </c>
    </row>
    <row r="12" spans="1:17" ht="46.5" customHeight="1" thickBot="1">
      <c r="A12" s="645" t="s">
        <v>326</v>
      </c>
      <c r="B12" s="645"/>
      <c r="C12" s="645"/>
      <c r="D12" s="645"/>
      <c r="E12" s="645"/>
      <c r="F12" s="645"/>
      <c r="G12" s="645"/>
      <c r="J12" s="220"/>
      <c r="K12" s="220"/>
      <c r="L12" s="220"/>
      <c r="M12" s="220"/>
      <c r="N12" s="220"/>
      <c r="O12" s="220"/>
      <c r="P12" s="220"/>
      <c r="Q12" s="220"/>
    </row>
    <row r="13" spans="1:17" ht="25.5">
      <c r="A13" s="63" t="s">
        <v>327</v>
      </c>
      <c r="B13" s="64" t="s">
        <v>192</v>
      </c>
      <c r="C13" s="64" t="s">
        <v>331</v>
      </c>
      <c r="D13" s="646" t="s">
        <v>329</v>
      </c>
      <c r="E13" s="647"/>
      <c r="J13" s="325">
        <v>41974</v>
      </c>
      <c r="K13" s="52" t="s">
        <v>264</v>
      </c>
      <c r="L13" s="221"/>
      <c r="M13" s="221"/>
      <c r="N13" s="220">
        <f>L13-O13</f>
        <v>0</v>
      </c>
      <c r="O13" s="221"/>
      <c r="P13" s="220"/>
      <c r="Q13" s="220"/>
    </row>
    <row r="14" spans="1:17" ht="12.75">
      <c r="A14" s="65"/>
      <c r="B14" s="62"/>
      <c r="C14" s="62">
        <v>12</v>
      </c>
      <c r="D14" s="648"/>
      <c r="E14" s="649"/>
      <c r="F14" s="323"/>
      <c r="G14" s="323"/>
      <c r="J14" s="220"/>
      <c r="K14" s="220" t="s">
        <v>340</v>
      </c>
      <c r="L14" s="220">
        <f>O14+N14</f>
        <v>0</v>
      </c>
      <c r="M14" s="221"/>
      <c r="N14" s="221"/>
      <c r="O14" s="221"/>
      <c r="P14" s="220">
        <f>IF(M14=0,0,ROUND(N14/M14,2))</f>
        <v>0</v>
      </c>
      <c r="Q14" s="220">
        <f>IF(N14=0,0,O14/N14+1)</f>
        <v>0</v>
      </c>
    </row>
    <row r="15" spans="1:17" ht="13.5" thickBot="1">
      <c r="A15" s="66"/>
      <c r="B15" s="67"/>
      <c r="C15" s="67"/>
      <c r="D15" s="650"/>
      <c r="E15" s="651"/>
      <c r="J15" s="220"/>
      <c r="K15" s="220" t="s">
        <v>302</v>
      </c>
      <c r="L15" s="220">
        <f>L13-L14</f>
        <v>0</v>
      </c>
      <c r="M15" s="220">
        <f>M13-M14</f>
        <v>0</v>
      </c>
      <c r="N15" s="220">
        <f>N13-N14</f>
        <v>0</v>
      </c>
      <c r="O15" s="220">
        <f>O13-O14</f>
        <v>0</v>
      </c>
      <c r="P15" s="220">
        <f>IF(M15=0,0,ROUND(N15/M15,2))</f>
        <v>0</v>
      </c>
      <c r="Q15" s="220">
        <f>IF(N15=0,0,O15/N15+1)</f>
        <v>0</v>
      </c>
    </row>
    <row r="16" spans="1:17" ht="15.75">
      <c r="A16" s="645"/>
      <c r="B16" s="645"/>
      <c r="C16" s="645"/>
      <c r="D16" s="645"/>
      <c r="E16" s="645"/>
      <c r="F16" s="645"/>
      <c r="G16" s="645"/>
      <c r="J16" s="52"/>
      <c r="K16" s="220"/>
      <c r="L16" s="220"/>
      <c r="M16" s="220"/>
      <c r="N16" s="220"/>
      <c r="O16" s="220"/>
      <c r="P16" s="220"/>
      <c r="Q16" s="220"/>
    </row>
    <row r="17" spans="1:17" ht="12.75">
      <c r="A17" s="324"/>
      <c r="B17" s="84"/>
      <c r="C17" s="84"/>
      <c r="D17" s="654"/>
      <c r="E17" s="654"/>
      <c r="J17" s="325"/>
      <c r="K17" s="52" t="s">
        <v>264</v>
      </c>
      <c r="L17" s="221"/>
      <c r="M17" s="221"/>
      <c r="N17" s="220">
        <f>L17-O17</f>
        <v>0</v>
      </c>
      <c r="O17" s="221"/>
      <c r="P17" s="220"/>
      <c r="Q17" s="220"/>
    </row>
    <row r="18" spans="1:17" ht="12.75">
      <c r="A18" s="81"/>
      <c r="B18" s="81"/>
      <c r="C18" s="81"/>
      <c r="D18" s="81"/>
      <c r="E18" s="81"/>
      <c r="J18" s="220"/>
      <c r="K18" s="220" t="s">
        <v>340</v>
      </c>
      <c r="L18" s="220">
        <f>O18+N18</f>
        <v>0</v>
      </c>
      <c r="M18" s="221"/>
      <c r="N18" s="221"/>
      <c r="O18" s="221"/>
      <c r="P18" s="220">
        <f>IF(M18=0,0,ROUND(N18/M18,2))</f>
        <v>0</v>
      </c>
      <c r="Q18" s="220">
        <f>IF(N18=0,0,O18/N18+1)</f>
        <v>0</v>
      </c>
    </row>
    <row r="19" spans="1:17" ht="60.75" customHeight="1" thickBot="1">
      <c r="A19" s="637" t="s">
        <v>325</v>
      </c>
      <c r="B19" s="637"/>
      <c r="C19" s="637"/>
      <c r="D19" s="637"/>
      <c r="E19" s="637"/>
      <c r="F19" s="637"/>
      <c r="G19" s="637"/>
      <c r="H19" s="78"/>
      <c r="J19" s="220"/>
      <c r="K19" s="220" t="s">
        <v>302</v>
      </c>
      <c r="L19" s="220">
        <f>L17-L18</f>
        <v>0</v>
      </c>
      <c r="M19" s="220">
        <f>M17-M18</f>
        <v>0</v>
      </c>
      <c r="N19" s="220">
        <f>N17-N18</f>
        <v>0</v>
      </c>
      <c r="O19" s="220">
        <f>O17-O18</f>
        <v>0</v>
      </c>
      <c r="P19" s="220">
        <f>IF(M19=0,0,ROUND(N19/M19,2))</f>
        <v>0</v>
      </c>
      <c r="Q19" s="220">
        <f>IF(N19=0,0,O19/N19+1)</f>
        <v>0</v>
      </c>
    </row>
    <row r="20" spans="1:17" ht="49.5" customHeight="1">
      <c r="A20" s="76" t="s">
        <v>330</v>
      </c>
      <c r="B20" s="64" t="s">
        <v>185</v>
      </c>
      <c r="C20" s="64" t="s">
        <v>186</v>
      </c>
      <c r="D20" s="64" t="s">
        <v>331</v>
      </c>
      <c r="E20" s="64" t="s">
        <v>188</v>
      </c>
      <c r="F20" s="64" t="s">
        <v>189</v>
      </c>
      <c r="G20" s="77" t="s">
        <v>190</v>
      </c>
      <c r="H20" s="78"/>
      <c r="J20" s="52"/>
      <c r="K20" s="220"/>
      <c r="L20" s="220"/>
      <c r="M20" s="220"/>
      <c r="N20" s="220"/>
      <c r="O20" s="220"/>
      <c r="P20" s="220"/>
      <c r="Q20" s="220"/>
    </row>
    <row r="21" spans="1:17" ht="16.5" customHeight="1">
      <c r="A21" s="65">
        <f>M28</f>
        <v>35.95</v>
      </c>
      <c r="B21" s="62">
        <f>Q28</f>
        <v>10565.8</v>
      </c>
      <c r="C21" s="62">
        <f>R28</f>
        <v>2.0008406682506994</v>
      </c>
      <c r="D21" s="62">
        <v>8</v>
      </c>
      <c r="E21" s="62">
        <v>1</v>
      </c>
      <c r="F21" s="79">
        <f>ROUND((A21*B21*C21)*D21*E21,0)</f>
        <v>6080003</v>
      </c>
      <c r="G21" s="82">
        <f>ROUND(F21*30.2%,0)</f>
        <v>1836161</v>
      </c>
      <c r="H21" s="78"/>
      <c r="J21" s="326"/>
      <c r="K21" s="52" t="s">
        <v>264</v>
      </c>
      <c r="L21" s="221"/>
      <c r="M21" s="221"/>
      <c r="N21" s="220">
        <f>L21-O21</f>
        <v>0</v>
      </c>
      <c r="O21" s="221"/>
      <c r="P21" s="220"/>
      <c r="Q21" s="220"/>
    </row>
    <row r="22" spans="1:17" ht="12.75">
      <c r="A22" s="65">
        <f>M32</f>
        <v>35.95</v>
      </c>
      <c r="B22" s="62">
        <f>Q32</f>
        <v>10565.8</v>
      </c>
      <c r="C22" s="62">
        <f>R32</f>
        <v>2.057460907030811</v>
      </c>
      <c r="D22" s="62">
        <v>4</v>
      </c>
      <c r="E22" s="62">
        <v>1</v>
      </c>
      <c r="F22" s="79">
        <f>ROUND((A22*B22*C22)*D22*E22,0)</f>
        <v>3126028</v>
      </c>
      <c r="G22" s="82">
        <f>ROUND(F22*30.2%,0)</f>
        <v>944060</v>
      </c>
      <c r="H22" s="78"/>
      <c r="J22" s="222"/>
      <c r="K22" s="220" t="s">
        <v>340</v>
      </c>
      <c r="L22" s="220">
        <f>O22+N22</f>
        <v>0</v>
      </c>
      <c r="M22" s="221"/>
      <c r="N22" s="221"/>
      <c r="O22" s="221"/>
      <c r="P22" s="220">
        <f>IF(M22=0,0,ROUND(N22/M22,2))</f>
        <v>0</v>
      </c>
      <c r="Q22" s="220">
        <f>IF(N22=0,0,O22/N22+1)</f>
        <v>0</v>
      </c>
    </row>
    <row r="23" spans="1:17" ht="12.75" hidden="1">
      <c r="A23" s="65"/>
      <c r="B23" s="62"/>
      <c r="C23" s="62"/>
      <c r="D23" s="62"/>
      <c r="E23" s="62"/>
      <c r="F23" s="79">
        <f>ROUND((A23*B23*C23)*D23*E23,2)</f>
        <v>0</v>
      </c>
      <c r="G23" s="82">
        <f>ROUND(F23*30.2%,0)</f>
        <v>0</v>
      </c>
      <c r="H23" s="78"/>
      <c r="J23" s="52"/>
      <c r="K23" s="220" t="s">
        <v>302</v>
      </c>
      <c r="L23" s="220">
        <f>L21-L22</f>
        <v>0</v>
      </c>
      <c r="M23" s="220">
        <f>M21-M22</f>
        <v>0</v>
      </c>
      <c r="N23" s="220">
        <f>N21-N22</f>
        <v>0</v>
      </c>
      <c r="O23" s="220">
        <f>O21-O22</f>
        <v>0</v>
      </c>
      <c r="P23" s="220">
        <f>IF(M23=0,0,ROUND(N23/M23,2))</f>
        <v>0</v>
      </c>
      <c r="Q23" s="220">
        <f>IF(N23=0,0,O23/N23+1)</f>
        <v>0</v>
      </c>
    </row>
    <row r="24" spans="1:8" ht="12.75" hidden="1">
      <c r="A24" s="65"/>
      <c r="B24" s="62"/>
      <c r="C24" s="62"/>
      <c r="D24" s="62"/>
      <c r="E24" s="62"/>
      <c r="F24" s="79">
        <f>ROUND((A24*B24*C24)*D24*E24,2)</f>
        <v>0</v>
      </c>
      <c r="G24" s="82">
        <f>ROUND(F24*30.2%,0)</f>
        <v>0</v>
      </c>
      <c r="H24" s="78"/>
    </row>
    <row r="25" spans="1:10" ht="12.75" hidden="1">
      <c r="A25" s="65"/>
      <c r="B25" s="62"/>
      <c r="C25" s="62"/>
      <c r="D25" s="62"/>
      <c r="E25" s="62"/>
      <c r="F25" s="79">
        <f>ROUND((A25*B25*C25)*D25*E25,2)</f>
        <v>0</v>
      </c>
      <c r="G25" s="82">
        <f>ROUND(F25*30.2%,0)</f>
        <v>0</v>
      </c>
      <c r="H25" s="78"/>
      <c r="J25" s="60" t="s">
        <v>171</v>
      </c>
    </row>
    <row r="26" spans="1:17" ht="12.75">
      <c r="A26" s="65"/>
      <c r="B26" s="62"/>
      <c r="C26" s="62"/>
      <c r="D26" s="62"/>
      <c r="E26" s="62"/>
      <c r="F26" s="79"/>
      <c r="G26" s="82"/>
      <c r="H26" s="78"/>
      <c r="J26" s="220"/>
      <c r="K26" s="52"/>
      <c r="L26" s="220" t="s">
        <v>336</v>
      </c>
      <c r="M26" s="220" t="s">
        <v>337</v>
      </c>
      <c r="N26" s="220" t="s">
        <v>338</v>
      </c>
      <c r="O26" s="220" t="s">
        <v>339</v>
      </c>
      <c r="P26" s="220" t="s">
        <v>342</v>
      </c>
      <c r="Q26" s="220"/>
    </row>
    <row r="27" spans="1:18" ht="12.75">
      <c r="A27" s="65"/>
      <c r="B27" s="62"/>
      <c r="C27" s="83"/>
      <c r="D27" s="62"/>
      <c r="E27" s="62"/>
      <c r="F27" s="225"/>
      <c r="G27" s="82"/>
      <c r="H27" s="78"/>
      <c r="J27" s="325">
        <v>41640</v>
      </c>
      <c r="K27" s="52" t="s">
        <v>264</v>
      </c>
      <c r="L27" s="221">
        <v>1124241</v>
      </c>
      <c r="M27" s="221">
        <v>59.25</v>
      </c>
      <c r="N27" s="220">
        <f>L27-O27</f>
        <v>633131.08</v>
      </c>
      <c r="O27" s="221">
        <v>491109.92000000004</v>
      </c>
      <c r="P27" s="221"/>
      <c r="Q27" s="220"/>
      <c r="R27" s="220"/>
    </row>
    <row r="28" spans="1:18" ht="17.25" customHeight="1" thickBot="1">
      <c r="A28" s="66" t="s">
        <v>191</v>
      </c>
      <c r="B28" s="67"/>
      <c r="C28" s="67"/>
      <c r="D28" s="67"/>
      <c r="E28" s="67"/>
      <c r="F28" s="80">
        <f>SUM(F21:F27)</f>
        <v>9206031</v>
      </c>
      <c r="G28" s="226">
        <f>SUM(G21:G27)</f>
        <v>2780221</v>
      </c>
      <c r="H28" s="78"/>
      <c r="J28" s="220"/>
      <c r="K28" s="220" t="s">
        <v>340</v>
      </c>
      <c r="L28" s="220">
        <f>O28+N28+P28</f>
        <v>760000.6799999999</v>
      </c>
      <c r="M28" s="221">
        <v>35.95</v>
      </c>
      <c r="N28" s="221">
        <v>379840.68</v>
      </c>
      <c r="O28" s="221">
        <v>380160</v>
      </c>
      <c r="P28" s="221"/>
      <c r="Q28" s="220">
        <f>ROUND((N28+P28)/M28,2)</f>
        <v>10565.8</v>
      </c>
      <c r="R28" s="220">
        <f>(O28-P28)/(N28+P28)+1</f>
        <v>2.0008406682506994</v>
      </c>
    </row>
    <row r="29" spans="10:18" ht="12.75">
      <c r="J29" s="220"/>
      <c r="K29" s="220" t="s">
        <v>302</v>
      </c>
      <c r="L29" s="220">
        <f>L27-L28</f>
        <v>364240.32000000007</v>
      </c>
      <c r="M29" s="220">
        <f>M27-M28</f>
        <v>23.299999999999997</v>
      </c>
      <c r="N29" s="220">
        <f>N27-N28</f>
        <v>253290.39999999997</v>
      </c>
      <c r="O29" s="220">
        <f>O27-O28</f>
        <v>110949.92000000004</v>
      </c>
      <c r="P29" s="220">
        <f>P27-P28</f>
        <v>0</v>
      </c>
      <c r="Q29" s="220">
        <f>ROUND((N29+P29)/M29,2)</f>
        <v>10870.83</v>
      </c>
      <c r="R29" s="220">
        <f>(O29-P29)/(N29+P29)+1</f>
        <v>1.4380344458376633</v>
      </c>
    </row>
    <row r="30" spans="1:18" ht="41.25" customHeight="1" thickBot="1">
      <c r="A30" s="645" t="s">
        <v>324</v>
      </c>
      <c r="B30" s="645"/>
      <c r="C30" s="645"/>
      <c r="D30" s="645"/>
      <c r="E30" s="645"/>
      <c r="F30" s="645"/>
      <c r="G30" s="645"/>
      <c r="J30" s="220"/>
      <c r="K30" s="220"/>
      <c r="L30" s="220"/>
      <c r="M30" s="220"/>
      <c r="N30" s="220"/>
      <c r="O30" s="220"/>
      <c r="P30" s="220"/>
      <c r="Q30" s="220"/>
      <c r="R30" s="220"/>
    </row>
    <row r="31" spans="1:20" ht="12.75">
      <c r="A31" s="85" t="s">
        <v>151</v>
      </c>
      <c r="B31" s="86" t="s">
        <v>328</v>
      </c>
      <c r="C31" s="64" t="s">
        <v>332</v>
      </c>
      <c r="D31" s="652" t="s">
        <v>329</v>
      </c>
      <c r="E31" s="653"/>
      <c r="G31" s="78"/>
      <c r="I31" s="78"/>
      <c r="J31" s="325">
        <v>41883</v>
      </c>
      <c r="K31" s="52" t="s">
        <v>264</v>
      </c>
      <c r="L31" s="221">
        <v>1153275</v>
      </c>
      <c r="M31" s="221">
        <f>M27</f>
        <v>59.25</v>
      </c>
      <c r="N31" s="220">
        <f>L31-O31</f>
        <v>633131.08</v>
      </c>
      <c r="O31" s="221">
        <f>O27+T31</f>
        <v>520143.92000000004</v>
      </c>
      <c r="P31" s="221"/>
      <c r="Q31" s="220"/>
      <c r="R31" s="220"/>
      <c r="T31" s="61">
        <f>L31-L27</f>
        <v>29034</v>
      </c>
    </row>
    <row r="32" spans="1:20" ht="12.75">
      <c r="A32" s="329">
        <v>226</v>
      </c>
      <c r="B32" s="62">
        <f>ROUND(D32/C32,2)</f>
        <v>37.35</v>
      </c>
      <c r="C32" s="330">
        <f>'мун.задание'!D68</f>
        <v>429</v>
      </c>
      <c r="D32" s="641">
        <f>проверка!C9</f>
        <v>16023</v>
      </c>
      <c r="E32" s="642"/>
      <c r="G32" s="78"/>
      <c r="J32" s="220"/>
      <c r="K32" s="220" t="s">
        <v>340</v>
      </c>
      <c r="L32" s="220">
        <f>O32+N32+P32</f>
        <v>781507.35</v>
      </c>
      <c r="M32" s="221">
        <f>M28</f>
        <v>35.95</v>
      </c>
      <c r="N32" s="221">
        <f>N28</f>
        <v>379840.68</v>
      </c>
      <c r="O32" s="221">
        <f>O28+T32</f>
        <v>401666.67</v>
      </c>
      <c r="P32" s="221"/>
      <c r="Q32" s="220">
        <f>ROUND((N32+P32)/M32,2)</f>
        <v>10565.8</v>
      </c>
      <c r="R32" s="220">
        <f>(O32-P32)/(N32+P32)+1</f>
        <v>2.057460907030811</v>
      </c>
      <c r="T32" s="61">
        <f>ROUND(T31/1.35,2)</f>
        <v>21506.67</v>
      </c>
    </row>
    <row r="33" spans="1:18" ht="12.75">
      <c r="A33" s="87">
        <v>310</v>
      </c>
      <c r="B33" s="62">
        <f>ROUND(D33/C33,1)</f>
        <v>206.7</v>
      </c>
      <c r="C33" s="62">
        <f>свод!D6+1</f>
        <v>433</v>
      </c>
      <c r="D33" s="641">
        <f>проверка!C10</f>
        <v>89501</v>
      </c>
      <c r="E33" s="642"/>
      <c r="J33" s="220"/>
      <c r="K33" s="220" t="s">
        <v>302</v>
      </c>
      <c r="L33" s="220">
        <f>L31-L32</f>
        <v>371767.65</v>
      </c>
      <c r="M33" s="220">
        <f>M31-M32</f>
        <v>23.299999999999997</v>
      </c>
      <c r="N33" s="220">
        <f>N31-N32</f>
        <v>253290.39999999997</v>
      </c>
      <c r="O33" s="220">
        <f>O31-O32</f>
        <v>118477.25000000006</v>
      </c>
      <c r="P33" s="220">
        <f>P31-P32</f>
        <v>0</v>
      </c>
      <c r="Q33" s="220">
        <f>ROUND((N33+P33)/M33,2)</f>
        <v>10870.83</v>
      </c>
      <c r="R33" s="220">
        <f>(O33-P33)/(N33+P33)+1</f>
        <v>1.4677526270241592</v>
      </c>
    </row>
    <row r="34" spans="1:18" ht="13.5" thickBot="1">
      <c r="A34" s="88">
        <v>340</v>
      </c>
      <c r="B34" s="67">
        <f>ROUND(D34/C34,1)</f>
        <v>112</v>
      </c>
      <c r="C34" s="67">
        <f>свод!D6+1</f>
        <v>433</v>
      </c>
      <c r="D34" s="643">
        <f>проверка!C11</f>
        <v>48511</v>
      </c>
      <c r="E34" s="644"/>
      <c r="I34" s="78"/>
      <c r="J34" s="52"/>
      <c r="K34" s="220"/>
      <c r="L34" s="220"/>
      <c r="M34" s="220"/>
      <c r="N34" s="220"/>
      <c r="O34" s="220"/>
      <c r="P34" s="220"/>
      <c r="Q34" s="220"/>
      <c r="R34" s="220"/>
    </row>
    <row r="35" spans="10:18" ht="12.75">
      <c r="J35" s="326"/>
      <c r="K35" s="52" t="s">
        <v>264</v>
      </c>
      <c r="L35" s="221"/>
      <c r="M35" s="221"/>
      <c r="N35" s="220">
        <f>L35-O35</f>
        <v>0</v>
      </c>
      <c r="O35" s="221"/>
      <c r="P35" s="221"/>
      <c r="Q35" s="220"/>
      <c r="R35" s="220"/>
    </row>
    <row r="36" spans="1:18" ht="12.75">
      <c r="A36" s="216" t="s">
        <v>464</v>
      </c>
      <c r="B36" s="70"/>
      <c r="C36" s="332"/>
      <c r="D36" s="332"/>
      <c r="E36" s="217" t="s">
        <v>462</v>
      </c>
      <c r="F36" s="216"/>
      <c r="J36" s="222"/>
      <c r="K36" s="220" t="s">
        <v>340</v>
      </c>
      <c r="L36" s="220">
        <f>O36+N36+P36</f>
        <v>0</v>
      </c>
      <c r="M36" s="221"/>
      <c r="N36" s="221"/>
      <c r="O36" s="221"/>
      <c r="P36" s="221"/>
      <c r="Q36" s="220" t="e">
        <f>ROUND((N36+P36)/M36,2)</f>
        <v>#DIV/0!</v>
      </c>
      <c r="R36" s="220" t="e">
        <f>(O36-P36)/(N36+P36)</f>
        <v>#DIV/0!</v>
      </c>
    </row>
    <row r="37" spans="1:18" ht="12.75">
      <c r="A37" s="73"/>
      <c r="B37" s="73"/>
      <c r="C37" s="73"/>
      <c r="D37" s="73"/>
      <c r="E37" s="219"/>
      <c r="F37" s="61"/>
      <c r="J37" s="52"/>
      <c r="K37" s="220" t="s">
        <v>302</v>
      </c>
      <c r="L37" s="220">
        <f>L35-L36</f>
        <v>0</v>
      </c>
      <c r="M37" s="220">
        <f>M35-M36</f>
        <v>0</v>
      </c>
      <c r="N37" s="220">
        <f>N35-N36</f>
        <v>0</v>
      </c>
      <c r="O37" s="220">
        <f>O35-O36</f>
        <v>0</v>
      </c>
      <c r="P37" s="220">
        <f>P35-P36</f>
        <v>0</v>
      </c>
      <c r="Q37" s="220" t="e">
        <f>ROUND((N37+P37)/M37,2)</f>
        <v>#DIV/0!</v>
      </c>
      <c r="R37" s="220" t="e">
        <f>(O37-P37)/(N37+P37)</f>
        <v>#DIV/0!</v>
      </c>
    </row>
    <row r="38" spans="1:18" ht="12.75">
      <c r="A38" s="73"/>
      <c r="B38" s="73"/>
      <c r="C38" s="73"/>
      <c r="D38" s="73"/>
      <c r="E38" s="219"/>
      <c r="F38" s="61"/>
      <c r="J38" s="52"/>
      <c r="K38" s="52"/>
      <c r="L38" s="52"/>
      <c r="M38" s="220"/>
      <c r="N38" s="220"/>
      <c r="O38" s="220"/>
      <c r="P38" s="220"/>
      <c r="Q38" s="220"/>
      <c r="R38" s="220"/>
    </row>
    <row r="39" spans="1:18" ht="21" customHeight="1">
      <c r="A39" s="61" t="s">
        <v>454</v>
      </c>
      <c r="B39" s="73"/>
      <c r="C39" s="331"/>
      <c r="D39" s="331"/>
      <c r="E39" s="219" t="s">
        <v>463</v>
      </c>
      <c r="F39" s="61"/>
      <c r="J39" s="326"/>
      <c r="K39" s="52" t="s">
        <v>264</v>
      </c>
      <c r="L39" s="221"/>
      <c r="M39" s="221"/>
      <c r="N39" s="220">
        <f>L39-O39</f>
        <v>0</v>
      </c>
      <c r="O39" s="221"/>
      <c r="P39" s="221"/>
      <c r="Q39" s="220"/>
      <c r="R39" s="220"/>
    </row>
    <row r="40" spans="6:18" ht="12.75">
      <c r="F40" s="638" t="s">
        <v>193</v>
      </c>
      <c r="G40" s="638"/>
      <c r="I40" s="78"/>
      <c r="J40" s="52"/>
      <c r="K40" s="220" t="s">
        <v>340</v>
      </c>
      <c r="L40" s="220">
        <f>O40+N40+P40</f>
        <v>0</v>
      </c>
      <c r="M40" s="221"/>
      <c r="N40" s="221"/>
      <c r="O40" s="221"/>
      <c r="P40" s="221"/>
      <c r="Q40" s="220" t="e">
        <f>ROUND((N40+P40)/M40,2)</f>
        <v>#DIV/0!</v>
      </c>
      <c r="R40" s="220" t="e">
        <f>(O40-P40)/(N40+P40)</f>
        <v>#DIV/0!</v>
      </c>
    </row>
    <row r="41" spans="1:18" ht="41.25" customHeight="1">
      <c r="A41" s="639" t="s">
        <v>194</v>
      </c>
      <c r="B41" s="639"/>
      <c r="C41" s="639"/>
      <c r="D41" s="639"/>
      <c r="E41" s="639"/>
      <c r="F41" s="639"/>
      <c r="G41" s="639"/>
      <c r="I41" s="78"/>
      <c r="J41" s="52"/>
      <c r="K41" s="220" t="s">
        <v>302</v>
      </c>
      <c r="L41" s="220">
        <f>L39-L40</f>
        <v>0</v>
      </c>
      <c r="M41" s="220">
        <f>M39-M40</f>
        <v>0</v>
      </c>
      <c r="N41" s="220">
        <f>N39-N40</f>
        <v>0</v>
      </c>
      <c r="O41" s="220">
        <f>O39-O40</f>
        <v>0</v>
      </c>
      <c r="P41" s="220">
        <f>P39-P40</f>
        <v>0</v>
      </c>
      <c r="Q41" s="220" t="e">
        <f>ROUND((N41+P41)/M41,2)</f>
        <v>#DIV/0!</v>
      </c>
      <c r="R41" s="220" t="e">
        <f>(O41-P41)/(N41+P41)</f>
        <v>#DIV/0!</v>
      </c>
    </row>
    <row r="42" spans="1:18" ht="20.25">
      <c r="A42" s="59"/>
      <c r="B42" s="59"/>
      <c r="C42" s="59"/>
      <c r="D42" s="59"/>
      <c r="E42" s="59"/>
      <c r="F42" s="59"/>
      <c r="G42" s="59"/>
      <c r="I42" s="78"/>
      <c r="J42" s="52"/>
      <c r="K42" s="220"/>
      <c r="L42" s="220"/>
      <c r="M42" s="220"/>
      <c r="N42" s="220"/>
      <c r="O42" s="220"/>
      <c r="P42" s="220"/>
      <c r="Q42" s="220"/>
      <c r="R42" s="220"/>
    </row>
    <row r="43" spans="1:18" ht="52.5" customHeight="1">
      <c r="A43" s="637" t="s">
        <v>334</v>
      </c>
      <c r="B43" s="637"/>
      <c r="C43" s="637"/>
      <c r="D43" s="637"/>
      <c r="E43" s="637"/>
      <c r="F43" s="637"/>
      <c r="G43" s="637"/>
      <c r="J43" s="52"/>
      <c r="K43" s="220"/>
      <c r="L43" s="220"/>
      <c r="M43" s="220"/>
      <c r="N43" s="220"/>
      <c r="O43" s="220"/>
      <c r="P43" s="220"/>
      <c r="Q43" s="220"/>
      <c r="R43" s="220"/>
    </row>
    <row r="44" spans="1:18" ht="25.5">
      <c r="A44" s="62" t="s">
        <v>195</v>
      </c>
      <c r="B44" s="62" t="s">
        <v>185</v>
      </c>
      <c r="C44" s="62" t="s">
        <v>186</v>
      </c>
      <c r="D44" s="62" t="s">
        <v>187</v>
      </c>
      <c r="E44" s="62" t="s">
        <v>188</v>
      </c>
      <c r="F44" s="62" t="s">
        <v>189</v>
      </c>
      <c r="G44" s="62" t="s">
        <v>190</v>
      </c>
      <c r="I44" s="78"/>
      <c r="J44" s="326"/>
      <c r="K44" s="52" t="s">
        <v>264</v>
      </c>
      <c r="L44" s="221"/>
      <c r="M44" s="221"/>
      <c r="N44" s="220">
        <f>L44-O44</f>
        <v>0</v>
      </c>
      <c r="O44" s="221"/>
      <c r="P44" s="221"/>
      <c r="Q44" s="220"/>
      <c r="R44" s="220"/>
    </row>
    <row r="45" spans="1:18" ht="12.75">
      <c r="A45" s="62">
        <f>M11</f>
        <v>2</v>
      </c>
      <c r="B45" s="62">
        <f>P11</f>
        <v>5692.48</v>
      </c>
      <c r="C45" s="62">
        <f>Q11</f>
        <v>3.299792006296026</v>
      </c>
      <c r="D45" s="62">
        <v>12</v>
      </c>
      <c r="E45" s="62">
        <v>1</v>
      </c>
      <c r="F45" s="79">
        <f>ROUND((A45*B45*C45)*D45,0)</f>
        <v>450816</v>
      </c>
      <c r="G45" s="79">
        <f>ROUND(F45*30.2%,0)-10504</f>
        <v>125642</v>
      </c>
      <c r="J45" s="52"/>
      <c r="K45" s="220" t="s">
        <v>340</v>
      </c>
      <c r="L45" s="220">
        <f>O45+N45+P45</f>
        <v>0</v>
      </c>
      <c r="M45" s="221"/>
      <c r="N45" s="221"/>
      <c r="O45" s="221"/>
      <c r="P45" s="221"/>
      <c r="Q45" s="220" t="e">
        <f>ROUND((N45+P45)/M45,2)</f>
        <v>#DIV/0!</v>
      </c>
      <c r="R45" s="220" t="e">
        <f>(O45-P45)/(N45+P45)</f>
        <v>#DIV/0!</v>
      </c>
    </row>
    <row r="46" spans="1:18" ht="12.75">
      <c r="A46" s="62">
        <f>M15</f>
        <v>0</v>
      </c>
      <c r="B46" s="62">
        <f>P15</f>
        <v>0</v>
      </c>
      <c r="C46" s="62">
        <f>Q15</f>
        <v>0</v>
      </c>
      <c r="D46" s="62"/>
      <c r="E46" s="62"/>
      <c r="F46" s="79">
        <f>ROUND((A46*B46*C46)*D46,2)</f>
        <v>0</v>
      </c>
      <c r="G46" s="79">
        <f>ROUND(F46*30.2%,0)</f>
        <v>0</v>
      </c>
      <c r="J46" s="52"/>
      <c r="K46" s="220" t="s">
        <v>302</v>
      </c>
      <c r="L46" s="220">
        <f>L44-L45</f>
        <v>0</v>
      </c>
      <c r="M46" s="220">
        <f>M44-M45</f>
        <v>0</v>
      </c>
      <c r="N46" s="220">
        <f>N44-N45</f>
        <v>0</v>
      </c>
      <c r="O46" s="220">
        <f>O44-O45</f>
        <v>0</v>
      </c>
      <c r="P46" s="220">
        <f>P44-P45</f>
        <v>0</v>
      </c>
      <c r="Q46" s="220" t="e">
        <f>ROUND((N46+P46)/M46,2)</f>
        <v>#DIV/0!</v>
      </c>
      <c r="R46" s="220" t="e">
        <f>(O46-P46)/(N46+P46)</f>
        <v>#DIV/0!</v>
      </c>
    </row>
    <row r="47" spans="1:10" ht="12.75">
      <c r="A47" s="62">
        <f>M19</f>
        <v>0</v>
      </c>
      <c r="B47" s="62">
        <f>P19</f>
        <v>0</v>
      </c>
      <c r="C47" s="62">
        <f>Q19</f>
        <v>0</v>
      </c>
      <c r="D47" s="62"/>
      <c r="E47" s="62"/>
      <c r="F47" s="79">
        <f>ROUND(A47*B47*C47*D47*E47,0)</f>
        <v>0</v>
      </c>
      <c r="G47" s="79">
        <f>ROUND(F47*30.2%,0)</f>
        <v>0</v>
      </c>
      <c r="J47" s="61"/>
    </row>
    <row r="48" spans="1:7" ht="12.75">
      <c r="A48" s="62">
        <f>M23</f>
        <v>0</v>
      </c>
      <c r="B48" s="62">
        <f>P23</f>
        <v>0</v>
      </c>
      <c r="C48" s="62">
        <f>Q23</f>
        <v>0</v>
      </c>
      <c r="D48" s="62"/>
      <c r="E48" s="62"/>
      <c r="F48" s="79">
        <f>ROUND((A48*B48*C48)*D48*E48,2)</f>
        <v>0</v>
      </c>
      <c r="G48" s="79">
        <f>ROUND(F48*30.2%,0)</f>
        <v>0</v>
      </c>
    </row>
    <row r="49" spans="1:7" ht="12.75">
      <c r="A49" s="224" t="s">
        <v>448</v>
      </c>
      <c r="B49" s="62"/>
      <c r="C49" s="62"/>
      <c r="D49" s="62"/>
      <c r="E49" s="62"/>
      <c r="F49" s="79"/>
      <c r="G49" s="79">
        <v>10504</v>
      </c>
    </row>
    <row r="50" spans="1:7" ht="12.75">
      <c r="A50" s="62" t="s">
        <v>191</v>
      </c>
      <c r="B50" s="62"/>
      <c r="C50" s="62"/>
      <c r="D50" s="62"/>
      <c r="E50" s="62"/>
      <c r="F50" s="79">
        <f>SUM(F45:F49)</f>
        <v>450816</v>
      </c>
      <c r="G50" s="79">
        <f>SUM(G45:G49)</f>
        <v>136146</v>
      </c>
    </row>
    <row r="51" ht="13.5" thickBot="1"/>
    <row r="52" spans="1:7" ht="49.5" customHeight="1">
      <c r="A52" s="76" t="s">
        <v>449</v>
      </c>
      <c r="B52" s="64" t="s">
        <v>196</v>
      </c>
      <c r="C52" s="64" t="s">
        <v>187</v>
      </c>
      <c r="D52" s="77" t="s">
        <v>197</v>
      </c>
      <c r="G52" s="60" t="s">
        <v>91</v>
      </c>
    </row>
    <row r="53" spans="1:4" ht="13.5" thickBot="1">
      <c r="A53" s="66">
        <v>50</v>
      </c>
      <c r="B53" s="453">
        <v>1</v>
      </c>
      <c r="C53" s="67">
        <v>12</v>
      </c>
      <c r="D53" s="68">
        <f>A53*B53*C53</f>
        <v>600</v>
      </c>
    </row>
    <row r="56" spans="1:7" ht="46.5" customHeight="1" thickBot="1">
      <c r="A56" s="637" t="s">
        <v>333</v>
      </c>
      <c r="B56" s="637"/>
      <c r="C56" s="637"/>
      <c r="D56" s="637"/>
      <c r="E56" s="637"/>
      <c r="F56" s="637"/>
      <c r="G56" s="637"/>
    </row>
    <row r="57" spans="1:7" ht="25.5">
      <c r="A57" s="76" t="s">
        <v>195</v>
      </c>
      <c r="B57" s="64" t="s">
        <v>185</v>
      </c>
      <c r="C57" s="64" t="s">
        <v>186</v>
      </c>
      <c r="D57" s="64" t="s">
        <v>187</v>
      </c>
      <c r="E57" s="64" t="s">
        <v>188</v>
      </c>
      <c r="F57" s="64" t="s">
        <v>189</v>
      </c>
      <c r="G57" s="77" t="s">
        <v>190</v>
      </c>
    </row>
    <row r="58" spans="1:7" ht="12.75">
      <c r="A58" s="65">
        <f>M29</f>
        <v>23.299999999999997</v>
      </c>
      <c r="B58" s="62">
        <f>Q29</f>
        <v>10870.83</v>
      </c>
      <c r="C58" s="62">
        <f>R29</f>
        <v>1.4380344458376633</v>
      </c>
      <c r="D58" s="62">
        <v>8</v>
      </c>
      <c r="E58" s="62">
        <v>1</v>
      </c>
      <c r="F58" s="79">
        <f>ROUND((A58*B58*C58)*D58*E58,0)</f>
        <v>2913922</v>
      </c>
      <c r="G58" s="82">
        <f>ROUND(F58*30.2%,0)</f>
        <v>880004</v>
      </c>
    </row>
    <row r="59" spans="1:7" ht="12.75">
      <c r="A59" s="65">
        <f>M33</f>
        <v>23.299999999999997</v>
      </c>
      <c r="B59" s="62">
        <f>Q33</f>
        <v>10870.83</v>
      </c>
      <c r="C59" s="62">
        <f>R33</f>
        <v>1.4677526270241592</v>
      </c>
      <c r="D59" s="62">
        <v>4</v>
      </c>
      <c r="E59" s="62">
        <v>1</v>
      </c>
      <c r="F59" s="79">
        <f>ROUND((A59*B59*C59)*D59*E59,0)+6</f>
        <v>1487076</v>
      </c>
      <c r="G59" s="82">
        <f>ROUND(F59*30.2%,0)+1</f>
        <v>449098</v>
      </c>
    </row>
    <row r="60" spans="1:7" ht="12.75" hidden="1">
      <c r="A60" s="65"/>
      <c r="B60" s="62"/>
      <c r="C60" s="62"/>
      <c r="D60" s="62"/>
      <c r="E60" s="62">
        <v>1</v>
      </c>
      <c r="F60" s="79">
        <f>ROUND((A60*B60*C60)*D60*E60,2)</f>
        <v>0</v>
      </c>
      <c r="G60" s="82">
        <f>ROUND(F60*30.2%,0)</f>
        <v>0</v>
      </c>
    </row>
    <row r="61" spans="1:7" ht="12.75" hidden="1">
      <c r="A61" s="65"/>
      <c r="B61" s="62"/>
      <c r="C61" s="62"/>
      <c r="D61" s="62"/>
      <c r="E61" s="62">
        <v>1</v>
      </c>
      <c r="F61" s="79">
        <f>ROUND((A61*B61*C61)*D61*E61,2)</f>
        <v>0</v>
      </c>
      <c r="G61" s="82">
        <f>ROUND(F61*30.2%,0)</f>
        <v>0</v>
      </c>
    </row>
    <row r="62" spans="1:7" ht="12.75" hidden="1">
      <c r="A62" s="65"/>
      <c r="B62" s="62"/>
      <c r="C62" s="62"/>
      <c r="D62" s="62"/>
      <c r="E62" s="62">
        <v>1</v>
      </c>
      <c r="F62" s="79">
        <f>ROUND((A62*B62*C62)*D62*E62,2)</f>
        <v>0</v>
      </c>
      <c r="G62" s="82">
        <f>ROUND(F62*30.2%,0)</f>
        <v>0</v>
      </c>
    </row>
    <row r="63" spans="1:7" ht="13.5" thickBot="1">
      <c r="A63" s="66" t="s">
        <v>191</v>
      </c>
      <c r="B63" s="67"/>
      <c r="C63" s="67"/>
      <c r="D63" s="67"/>
      <c r="E63" s="67"/>
      <c r="F63" s="80">
        <f>SUM(F58:F62)</f>
        <v>4400998</v>
      </c>
      <c r="G63" s="226">
        <f>SUM(G58:G62)</f>
        <v>1329102</v>
      </c>
    </row>
    <row r="64" ht="12.75">
      <c r="J64" s="78"/>
    </row>
    <row r="65" spans="1:7" ht="12.75">
      <c r="A65" s="216" t="s">
        <v>464</v>
      </c>
      <c r="B65" s="70"/>
      <c r="C65" s="332"/>
      <c r="D65" s="332"/>
      <c r="E65" s="217" t="s">
        <v>462</v>
      </c>
      <c r="F65" s="216"/>
      <c r="G65" s="218"/>
    </row>
    <row r="66" spans="1:10" ht="12.75">
      <c r="A66" s="73"/>
      <c r="B66" s="73"/>
      <c r="C66" s="73"/>
      <c r="D66" s="73"/>
      <c r="E66" s="219"/>
      <c r="F66" s="61"/>
      <c r="G66" s="218"/>
      <c r="J66" s="78"/>
    </row>
    <row r="67" spans="1:7" ht="12.75" hidden="1">
      <c r="A67" s="73"/>
      <c r="B67" s="73"/>
      <c r="C67" s="73"/>
      <c r="D67" s="73"/>
      <c r="E67" s="219"/>
      <c r="F67" s="61"/>
      <c r="G67" s="218"/>
    </row>
    <row r="68" spans="1:7" ht="12.75">
      <c r="A68" s="61" t="s">
        <v>465</v>
      </c>
      <c r="B68" s="73"/>
      <c r="C68" s="331"/>
      <c r="D68" s="331"/>
      <c r="E68" s="219" t="s">
        <v>463</v>
      </c>
      <c r="F68" s="61"/>
      <c r="G68" s="218"/>
    </row>
    <row r="81" ht="12.75">
      <c r="J81" s="78"/>
    </row>
  </sheetData>
  <sheetProtection/>
  <mergeCells count="20">
    <mergeCell ref="D32:E32"/>
    <mergeCell ref="A43:G43"/>
    <mergeCell ref="A19:G19"/>
    <mergeCell ref="A30:G30"/>
    <mergeCell ref="D13:E13"/>
    <mergeCell ref="D14:E14"/>
    <mergeCell ref="D15:E15"/>
    <mergeCell ref="D31:E31"/>
    <mergeCell ref="A16:G16"/>
    <mergeCell ref="D17:E17"/>
    <mergeCell ref="A56:G56"/>
    <mergeCell ref="F1:G1"/>
    <mergeCell ref="A2:G2"/>
    <mergeCell ref="F3:G3"/>
    <mergeCell ref="A4:G4"/>
    <mergeCell ref="D33:E33"/>
    <mergeCell ref="D34:E34"/>
    <mergeCell ref="A12:G12"/>
    <mergeCell ref="F40:G40"/>
    <mergeCell ref="A41:G41"/>
  </mergeCells>
  <printOptions/>
  <pageMargins left="0.5905511811023623" right="0" top="0.15748031496062992" bottom="0" header="0.31496062992125984" footer="0.31496062992125984"/>
  <pageSetup horizontalDpi="600" verticalDpi="600" orientation="portrait" paperSize="9" scale="99" r:id="rId3"/>
  <rowBreaks count="1" manualBreakCount="1">
    <brk id="39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4"/>
  <sheetViews>
    <sheetView zoomScalePageLayoutView="0" workbookViewId="0" topLeftCell="A31">
      <selection activeCell="B51" sqref="B51"/>
    </sheetView>
  </sheetViews>
  <sheetFormatPr defaultColWidth="9.140625" defaultRowHeight="15"/>
  <cols>
    <col min="1" max="1" width="30.28125" style="61" customWidth="1"/>
    <col min="2" max="2" width="16.8515625" style="61" customWidth="1"/>
    <col min="3" max="4" width="12.8515625" style="61" customWidth="1"/>
    <col min="5" max="5" width="13.00390625" style="61" customWidth="1"/>
    <col min="6" max="6" width="11.7109375" style="61" customWidth="1"/>
    <col min="7" max="7" width="10.421875" style="61" customWidth="1"/>
    <col min="8" max="16384" width="9.140625" style="61" customWidth="1"/>
  </cols>
  <sheetData>
    <row r="1" spans="5:6" ht="12.75">
      <c r="E1" s="658" t="s">
        <v>198</v>
      </c>
      <c r="F1" s="658"/>
    </row>
    <row r="2" spans="1:6" ht="18.75">
      <c r="A2" s="659" t="s">
        <v>199</v>
      </c>
      <c r="B2" s="659"/>
      <c r="C2" s="659"/>
      <c r="D2" s="659"/>
      <c r="E2" s="659"/>
      <c r="F2" s="659"/>
    </row>
    <row r="3" spans="1:6" s="81" customFormat="1" ht="12.75">
      <c r="A3" s="211"/>
      <c r="B3" s="211"/>
      <c r="C3" s="211"/>
      <c r="D3" s="211"/>
      <c r="E3" s="211"/>
      <c r="F3" s="211"/>
    </row>
    <row r="4" spans="1:6" ht="13.5" thickBot="1">
      <c r="A4" s="211"/>
      <c r="B4" s="211"/>
      <c r="C4" s="211"/>
      <c r="D4" s="211"/>
      <c r="E4" s="211"/>
      <c r="F4" s="211"/>
    </row>
    <row r="5" spans="1:6" s="60" customFormat="1" ht="25.5">
      <c r="A5" s="76"/>
      <c r="B5" s="64" t="s">
        <v>200</v>
      </c>
      <c r="C5" s="64" t="s">
        <v>201</v>
      </c>
      <c r="D5" s="64" t="s">
        <v>187</v>
      </c>
      <c r="E5" s="64" t="s">
        <v>188</v>
      </c>
      <c r="F5" s="77" t="s">
        <v>202</v>
      </c>
    </row>
    <row r="6" spans="1:6" ht="12.75">
      <c r="A6" s="65" t="s">
        <v>203</v>
      </c>
      <c r="B6" s="212">
        <v>220</v>
      </c>
      <c r="C6" s="212">
        <v>12.6</v>
      </c>
      <c r="D6" s="212">
        <v>12</v>
      </c>
      <c r="E6" s="212">
        <v>1</v>
      </c>
      <c r="F6" s="213">
        <f>ROUND(B6*C6*D6*E6,2)</f>
        <v>33264</v>
      </c>
    </row>
    <row r="7" spans="1:6" ht="12.75">
      <c r="A7" s="65" t="s">
        <v>203</v>
      </c>
      <c r="B7" s="212"/>
      <c r="C7" s="212"/>
      <c r="D7" s="212"/>
      <c r="E7" s="212"/>
      <c r="F7" s="213">
        <f>ROUND(B7*C7*D7*E7,2)</f>
        <v>0</v>
      </c>
    </row>
    <row r="8" spans="1:6" ht="23.25" customHeight="1" hidden="1">
      <c r="A8" s="317" t="s">
        <v>433</v>
      </c>
      <c r="B8" s="212"/>
      <c r="C8" s="212"/>
      <c r="D8" s="212"/>
      <c r="E8" s="212"/>
      <c r="F8" s="213"/>
    </row>
    <row r="9" spans="1:6" ht="12.75">
      <c r="A9" s="65" t="s">
        <v>204</v>
      </c>
      <c r="B9" s="212">
        <v>257.05</v>
      </c>
      <c r="C9" s="212">
        <v>1</v>
      </c>
      <c r="D9" s="212">
        <v>12</v>
      </c>
      <c r="E9" s="212">
        <v>1</v>
      </c>
      <c r="F9" s="213">
        <f>ROUND(B9*C9*D9*E9,2)</f>
        <v>3084.6</v>
      </c>
    </row>
    <row r="10" spans="1:6" ht="38.25" hidden="1">
      <c r="A10" s="317" t="s">
        <v>434</v>
      </c>
      <c r="B10" s="212"/>
      <c r="C10" s="212"/>
      <c r="D10" s="212"/>
      <c r="E10" s="212"/>
      <c r="F10" s="213"/>
    </row>
    <row r="11" spans="1:6" ht="12.75">
      <c r="A11" s="65" t="s">
        <v>205</v>
      </c>
      <c r="B11" s="212">
        <v>1050</v>
      </c>
      <c r="C11" s="212">
        <v>1</v>
      </c>
      <c r="D11" s="212">
        <v>12</v>
      </c>
      <c r="E11" s="212">
        <v>1</v>
      </c>
      <c r="F11" s="213">
        <f>ROUND(B11*C11*D11*E11,2)</f>
        <v>12600</v>
      </c>
    </row>
    <row r="12" spans="1:6" ht="24.75" customHeight="1" hidden="1">
      <c r="A12" s="317" t="s">
        <v>432</v>
      </c>
      <c r="B12" s="212"/>
      <c r="C12" s="212"/>
      <c r="D12" s="212"/>
      <c r="E12" s="212"/>
      <c r="F12" s="213"/>
    </row>
    <row r="13" spans="1:6" ht="25.5">
      <c r="A13" s="65" t="s">
        <v>206</v>
      </c>
      <c r="B13" s="212">
        <v>1924</v>
      </c>
      <c r="C13" s="212">
        <v>1</v>
      </c>
      <c r="D13" s="212">
        <v>12</v>
      </c>
      <c r="E13" s="212">
        <v>1</v>
      </c>
      <c r="F13" s="213">
        <f>ROUND(B13*C13*D13*E13,2)</f>
        <v>23088</v>
      </c>
    </row>
    <row r="14" spans="1:6" ht="38.25" hidden="1">
      <c r="A14" s="317" t="s">
        <v>435</v>
      </c>
      <c r="B14" s="212"/>
      <c r="C14" s="212"/>
      <c r="D14" s="212"/>
      <c r="E14" s="212"/>
      <c r="F14" s="213"/>
    </row>
    <row r="15" spans="1:6" ht="12.75">
      <c r="A15" s="65"/>
      <c r="B15" s="212"/>
      <c r="C15" s="212"/>
      <c r="D15" s="212"/>
      <c r="E15" s="212"/>
      <c r="F15" s="213"/>
    </row>
    <row r="16" spans="1:6" ht="38.25">
      <c r="A16" s="65" t="s">
        <v>470</v>
      </c>
      <c r="B16" s="212">
        <v>2884.03</v>
      </c>
      <c r="C16" s="212">
        <v>1</v>
      </c>
      <c r="D16" s="212">
        <v>10</v>
      </c>
      <c r="E16" s="212">
        <v>1</v>
      </c>
      <c r="F16" s="454">
        <f>ROUND(B16*C16*D16*E16,2)-0.02</f>
        <v>28840.28</v>
      </c>
    </row>
    <row r="17" spans="1:6" ht="12.75">
      <c r="A17" s="65" t="s">
        <v>471</v>
      </c>
      <c r="B17" s="212">
        <v>11950</v>
      </c>
      <c r="C17" s="212">
        <v>1</v>
      </c>
      <c r="D17" s="212">
        <v>1</v>
      </c>
      <c r="E17" s="212">
        <v>1</v>
      </c>
      <c r="F17" s="213">
        <f>ROUND(B17*C17*D17*E17,2)</f>
        <v>11950</v>
      </c>
    </row>
    <row r="18" spans="1:6" ht="38.25" hidden="1">
      <c r="A18" s="317" t="s">
        <v>439</v>
      </c>
      <c r="B18" s="212"/>
      <c r="C18" s="212"/>
      <c r="D18" s="212"/>
      <c r="E18" s="212"/>
      <c r="F18" s="213"/>
    </row>
    <row r="19" spans="1:6" ht="12.75">
      <c r="A19" s="65" t="s">
        <v>207</v>
      </c>
      <c r="B19" s="212">
        <v>1000.1</v>
      </c>
      <c r="C19" s="212">
        <v>1</v>
      </c>
      <c r="D19" s="212">
        <v>12</v>
      </c>
      <c r="E19" s="212">
        <v>1</v>
      </c>
      <c r="F19" s="213">
        <f>ROUND(B19*C19*D19*E19,2)</f>
        <v>12001.2</v>
      </c>
    </row>
    <row r="20" spans="1:6" ht="38.25" hidden="1">
      <c r="A20" s="317" t="s">
        <v>440</v>
      </c>
      <c r="B20" s="212"/>
      <c r="C20" s="212"/>
      <c r="D20" s="212"/>
      <c r="E20" s="212"/>
      <c r="F20" s="213"/>
    </row>
    <row r="21" spans="1:6" ht="25.5">
      <c r="A21" s="65" t="s">
        <v>208</v>
      </c>
      <c r="B21" s="212"/>
      <c r="C21" s="212">
        <v>1</v>
      </c>
      <c r="D21" s="212">
        <v>1</v>
      </c>
      <c r="E21" s="212">
        <v>1</v>
      </c>
      <c r="F21" s="213"/>
    </row>
    <row r="22" spans="1:6" ht="27" customHeight="1">
      <c r="A22" s="98" t="s">
        <v>209</v>
      </c>
      <c r="B22" s="212">
        <v>700</v>
      </c>
      <c r="C22" s="212">
        <v>1</v>
      </c>
      <c r="D22" s="212">
        <v>12</v>
      </c>
      <c r="E22" s="212">
        <v>1</v>
      </c>
      <c r="F22" s="213">
        <f>ROUND(B22*C22*D22*E22,2)</f>
        <v>8400</v>
      </c>
    </row>
    <row r="23" spans="1:6" ht="51.75" customHeight="1" hidden="1">
      <c r="A23" s="318" t="s">
        <v>436</v>
      </c>
      <c r="B23" s="212"/>
      <c r="C23" s="212"/>
      <c r="D23" s="212"/>
      <c r="E23" s="212"/>
      <c r="F23" s="213"/>
    </row>
    <row r="24" spans="1:6" ht="25.5" customHeight="1">
      <c r="A24" s="98" t="s">
        <v>453</v>
      </c>
      <c r="B24" s="212"/>
      <c r="C24" s="212">
        <v>1</v>
      </c>
      <c r="D24" s="212">
        <v>1</v>
      </c>
      <c r="E24" s="212">
        <v>1</v>
      </c>
      <c r="F24" s="213">
        <f>ROUND(B24*C24*D24*E24,2)</f>
        <v>0</v>
      </c>
    </row>
    <row r="25" spans="1:6" ht="28.5" customHeight="1">
      <c r="A25" s="98" t="s">
        <v>446</v>
      </c>
      <c r="B25" s="212"/>
      <c r="C25" s="212">
        <v>1</v>
      </c>
      <c r="D25" s="212">
        <v>1</v>
      </c>
      <c r="E25" s="212">
        <v>1</v>
      </c>
      <c r="F25" s="213">
        <f>ROUND(B25*C25*D25*E25,2)</f>
        <v>0</v>
      </c>
    </row>
    <row r="26" spans="1:6" ht="13.5" customHeight="1">
      <c r="A26" s="98" t="s">
        <v>445</v>
      </c>
      <c r="B26" s="212"/>
      <c r="C26" s="212">
        <v>1</v>
      </c>
      <c r="D26" s="212">
        <v>1</v>
      </c>
      <c r="E26" s="212">
        <v>1</v>
      </c>
      <c r="F26" s="213">
        <f>ROUND(B26*C26*D26*E26,2)</f>
        <v>0</v>
      </c>
    </row>
    <row r="27" spans="1:6" ht="12.75">
      <c r="A27" s="65" t="s">
        <v>438</v>
      </c>
      <c r="B27" s="212"/>
      <c r="C27" s="212">
        <v>1</v>
      </c>
      <c r="D27" s="212">
        <v>12</v>
      </c>
      <c r="E27" s="212">
        <v>1</v>
      </c>
      <c r="F27" s="213">
        <f>ROUND(B27*C27*D27*E27,2)</f>
        <v>0</v>
      </c>
    </row>
    <row r="28" spans="1:6" ht="22.5" customHeight="1">
      <c r="A28" s="65" t="s">
        <v>320</v>
      </c>
      <c r="B28" s="212">
        <v>1605.26</v>
      </c>
      <c r="C28" s="212">
        <v>1</v>
      </c>
      <c r="D28" s="212">
        <v>12</v>
      </c>
      <c r="E28" s="212">
        <v>1</v>
      </c>
      <c r="F28" s="213">
        <f>ROUND(B28*C28*D28*E28,2)</f>
        <v>19263.12</v>
      </c>
    </row>
    <row r="29" spans="1:6" ht="40.5" customHeight="1" hidden="1" thickBot="1">
      <c r="A29" s="321" t="s">
        <v>437</v>
      </c>
      <c r="B29" s="319"/>
      <c r="C29" s="319"/>
      <c r="D29" s="319"/>
      <c r="E29" s="319"/>
      <c r="F29" s="320"/>
    </row>
    <row r="30" spans="1:6" ht="12.75">
      <c r="A30" s="84"/>
      <c r="B30" s="81"/>
      <c r="C30" s="81"/>
      <c r="D30" s="81"/>
      <c r="E30" s="81"/>
      <c r="F30" s="81"/>
    </row>
    <row r="31" spans="1:6" ht="12.75">
      <c r="A31" s="84"/>
      <c r="B31" s="81"/>
      <c r="C31" s="81"/>
      <c r="D31" s="81"/>
      <c r="E31" s="81"/>
      <c r="F31" s="81"/>
    </row>
    <row r="32" ht="12.75">
      <c r="A32" s="60"/>
    </row>
    <row r="33" spans="1:6" ht="32.25" customHeight="1">
      <c r="A33" s="660" t="s">
        <v>211</v>
      </c>
      <c r="B33" s="661"/>
      <c r="C33" s="661"/>
      <c r="D33" s="661"/>
      <c r="E33" s="661"/>
      <c r="F33" s="661"/>
    </row>
    <row r="34" ht="13.5" thickBot="1">
      <c r="A34" s="60"/>
    </row>
    <row r="35" spans="1:6" ht="25.5">
      <c r="A35" s="76"/>
      <c r="B35" s="64" t="s">
        <v>200</v>
      </c>
      <c r="C35" s="64" t="s">
        <v>201</v>
      </c>
      <c r="D35" s="64" t="s">
        <v>187</v>
      </c>
      <c r="E35" s="64" t="s">
        <v>188</v>
      </c>
      <c r="F35" s="77" t="s">
        <v>202</v>
      </c>
    </row>
    <row r="36" spans="1:6" ht="25.5">
      <c r="A36" s="65" t="s">
        <v>212</v>
      </c>
      <c r="B36" s="212">
        <v>238.36</v>
      </c>
      <c r="C36" s="212">
        <v>1</v>
      </c>
      <c r="D36" s="212">
        <v>12</v>
      </c>
      <c r="E36" s="212">
        <v>1</v>
      </c>
      <c r="F36" s="213">
        <f>ROUND(B36*C36*D36*E36,2)-0.32</f>
        <v>2860</v>
      </c>
    </row>
    <row r="37" spans="1:6" ht="12.75">
      <c r="A37" s="65" t="s">
        <v>213</v>
      </c>
      <c r="B37" s="212">
        <v>0.47</v>
      </c>
      <c r="C37" s="212">
        <v>800</v>
      </c>
      <c r="D37" s="212">
        <v>12</v>
      </c>
      <c r="E37" s="212">
        <v>1</v>
      </c>
      <c r="F37" s="213">
        <f>ROUND(B37*C37*D37*E37,2)</f>
        <v>4512</v>
      </c>
    </row>
    <row r="38" spans="1:6" ht="25.5">
      <c r="A38" s="65" t="s">
        <v>212</v>
      </c>
      <c r="B38" s="212"/>
      <c r="C38" s="212">
        <v>1</v>
      </c>
      <c r="D38" s="212">
        <v>10</v>
      </c>
      <c r="E38" s="212">
        <v>1</v>
      </c>
      <c r="F38" s="213">
        <f>ROUND(B38*C38*D38*E38,2)</f>
        <v>0</v>
      </c>
    </row>
    <row r="39" spans="1:6" ht="12.75">
      <c r="A39" s="65" t="s">
        <v>213</v>
      </c>
      <c r="B39" s="212"/>
      <c r="C39" s="212"/>
      <c r="D39" s="212"/>
      <c r="E39" s="212">
        <v>1</v>
      </c>
      <c r="F39" s="213">
        <f>ROUND(B39*C39*D39*E39,2)</f>
        <v>0</v>
      </c>
    </row>
    <row r="40" spans="1:6" ht="12.75">
      <c r="A40" s="65" t="s">
        <v>214</v>
      </c>
      <c r="B40" s="212"/>
      <c r="C40" s="212">
        <v>1</v>
      </c>
      <c r="D40" s="212">
        <v>0</v>
      </c>
      <c r="E40" s="212">
        <v>1</v>
      </c>
      <c r="F40" s="213">
        <f>ROUND(B40*C40*D40*E40,2)</f>
        <v>0</v>
      </c>
    </row>
    <row r="41" spans="1:6" ht="12.75">
      <c r="A41" s="65" t="s">
        <v>191</v>
      </c>
      <c r="B41" s="212"/>
      <c r="C41" s="212"/>
      <c r="D41" s="212"/>
      <c r="E41" s="212"/>
      <c r="F41" s="213">
        <f>F36+F37+F40+F38+F39</f>
        <v>7372</v>
      </c>
    </row>
    <row r="42" spans="1:6" ht="27" customHeight="1" thickBot="1">
      <c r="A42" s="66" t="s">
        <v>215</v>
      </c>
      <c r="B42" s="214"/>
      <c r="C42" s="214"/>
      <c r="D42" s="214"/>
      <c r="E42" s="214"/>
      <c r="F42" s="215">
        <f>ROUND(B42*C42*D42*E42,2)</f>
        <v>0</v>
      </c>
    </row>
    <row r="43" ht="12.75">
      <c r="A43" s="60"/>
    </row>
    <row r="45" spans="1:6" ht="18.75">
      <c r="A45" s="662" t="s">
        <v>216</v>
      </c>
      <c r="B45" s="663"/>
      <c r="C45" s="663"/>
      <c r="D45" s="663"/>
      <c r="E45" s="663"/>
      <c r="F45" s="663"/>
    </row>
    <row r="46" ht="13.5" thickBot="1"/>
    <row r="47" spans="1:6" ht="25.5">
      <c r="A47" s="76"/>
      <c r="B47" s="64" t="s">
        <v>200</v>
      </c>
      <c r="C47" s="64" t="s">
        <v>201</v>
      </c>
      <c r="D47" s="64" t="s">
        <v>187</v>
      </c>
      <c r="E47" s="64" t="s">
        <v>188</v>
      </c>
      <c r="F47" s="77" t="s">
        <v>202</v>
      </c>
    </row>
    <row r="48" spans="1:6" ht="12.75">
      <c r="A48" s="65" t="s">
        <v>321</v>
      </c>
      <c r="B48" s="212">
        <v>1500</v>
      </c>
      <c r="C48" s="212">
        <v>26</v>
      </c>
      <c r="D48" s="212">
        <v>1</v>
      </c>
      <c r="E48" s="212">
        <v>1</v>
      </c>
      <c r="F48" s="213">
        <f>ROUND(B48*C48*D48*E48,2)</f>
        <v>39000</v>
      </c>
    </row>
    <row r="49" spans="1:6" ht="12.75">
      <c r="A49" s="65"/>
      <c r="B49" s="212">
        <v>1330</v>
      </c>
      <c r="C49" s="212">
        <v>4</v>
      </c>
      <c r="D49" s="212">
        <v>1</v>
      </c>
      <c r="E49" s="212">
        <v>1</v>
      </c>
      <c r="F49" s="213">
        <f>ROUND(B49*C49*D49*E49,2)</f>
        <v>5320</v>
      </c>
    </row>
    <row r="50" spans="1:6" ht="12.75">
      <c r="A50" s="65"/>
      <c r="B50" s="212">
        <v>150</v>
      </c>
      <c r="C50" s="212">
        <v>28</v>
      </c>
      <c r="D50" s="212">
        <v>1</v>
      </c>
      <c r="E50" s="212">
        <v>1</v>
      </c>
      <c r="F50" s="213">
        <f>ROUND(B50*C50*D50*E50,2)+20</f>
        <v>4220</v>
      </c>
    </row>
    <row r="51" spans="1:6" ht="12.75">
      <c r="A51" s="103"/>
      <c r="B51" s="455">
        <v>149.8</v>
      </c>
      <c r="C51" s="455">
        <v>1</v>
      </c>
      <c r="D51" s="455">
        <v>1</v>
      </c>
      <c r="E51" s="455">
        <v>1</v>
      </c>
      <c r="F51" s="213">
        <f>ROUND(B51*C51*D51*E51,2)</f>
        <v>149.8</v>
      </c>
    </row>
    <row r="52" spans="1:6" ht="12.75">
      <c r="A52" s="65" t="s">
        <v>191</v>
      </c>
      <c r="B52" s="212"/>
      <c r="C52" s="212"/>
      <c r="D52" s="212"/>
      <c r="E52" s="212"/>
      <c r="F52" s="213">
        <f>SUM(F48:F51)</f>
        <v>48689.8</v>
      </c>
    </row>
    <row r="53" spans="1:6" ht="25.5">
      <c r="A53" s="65" t="s">
        <v>473</v>
      </c>
      <c r="B53" s="212">
        <f>6335+3100</f>
        <v>9435</v>
      </c>
      <c r="C53" s="212">
        <v>1</v>
      </c>
      <c r="D53" s="212">
        <v>1</v>
      </c>
      <c r="E53" s="212">
        <v>1</v>
      </c>
      <c r="F53" s="213">
        <f>ROUND(B53*C53*D53*E53,2)</f>
        <v>9435</v>
      </c>
    </row>
    <row r="54" spans="1:6" ht="12.75">
      <c r="A54" s="65" t="s">
        <v>474</v>
      </c>
      <c r="B54" s="212">
        <v>3700</v>
      </c>
      <c r="C54" s="212">
        <v>1</v>
      </c>
      <c r="D54" s="212">
        <v>1</v>
      </c>
      <c r="E54" s="212">
        <v>1</v>
      </c>
      <c r="F54" s="213">
        <f>ROUND(B54*C54*D54*E54,2)</f>
        <v>3700</v>
      </c>
    </row>
    <row r="55" spans="1:6" ht="12.75">
      <c r="A55" s="65" t="s">
        <v>472</v>
      </c>
      <c r="B55" s="212">
        <v>1000</v>
      </c>
      <c r="C55" s="212">
        <v>1</v>
      </c>
      <c r="D55" s="212">
        <v>1</v>
      </c>
      <c r="E55" s="212">
        <v>1</v>
      </c>
      <c r="F55" s="213">
        <f>ROUND(B55*C55*D55*E55,2)</f>
        <v>1000</v>
      </c>
    </row>
    <row r="56" spans="1:6" ht="12.75">
      <c r="A56" s="65"/>
      <c r="B56" s="212"/>
      <c r="C56" s="212">
        <v>1</v>
      </c>
      <c r="D56" s="212">
        <v>1</v>
      </c>
      <c r="E56" s="212">
        <v>1</v>
      </c>
      <c r="F56" s="213">
        <f>ROUND(B56*C56*D56*E56,2)</f>
        <v>0</v>
      </c>
    </row>
    <row r="57" spans="1:6" ht="12.75">
      <c r="A57" s="655" t="s">
        <v>218</v>
      </c>
      <c r="B57" s="656"/>
      <c r="C57" s="656"/>
      <c r="D57" s="656"/>
      <c r="E57" s="656"/>
      <c r="F57" s="657"/>
    </row>
    <row r="58" spans="1:6" ht="12.75">
      <c r="A58" s="87" t="s">
        <v>472</v>
      </c>
      <c r="B58" s="212"/>
      <c r="C58" s="212">
        <v>1</v>
      </c>
      <c r="D58" s="212">
        <v>1</v>
      </c>
      <c r="E58" s="212">
        <v>1</v>
      </c>
      <c r="F58" s="213">
        <f aca="true" t="shared" si="0" ref="F58:F66">ROUND(B58*C58*D58*E58,2)</f>
        <v>0</v>
      </c>
    </row>
    <row r="59" spans="1:6" ht="12.75">
      <c r="A59" s="87" t="s">
        <v>455</v>
      </c>
      <c r="B59" s="212">
        <v>30000</v>
      </c>
      <c r="C59" s="212">
        <v>1</v>
      </c>
      <c r="D59" s="212">
        <v>1</v>
      </c>
      <c r="E59" s="212">
        <v>1</v>
      </c>
      <c r="F59" s="213">
        <v>30000</v>
      </c>
    </row>
    <row r="60" spans="1:6" ht="12.75">
      <c r="A60" s="87"/>
      <c r="B60" s="212"/>
      <c r="C60" s="212"/>
      <c r="D60" s="212"/>
      <c r="E60" s="212"/>
      <c r="F60" s="213">
        <f t="shared" si="0"/>
        <v>0</v>
      </c>
    </row>
    <row r="61" spans="1:6" ht="12.75" hidden="1">
      <c r="A61" s="87"/>
      <c r="B61" s="212"/>
      <c r="C61" s="212"/>
      <c r="D61" s="212"/>
      <c r="E61" s="212"/>
      <c r="F61" s="213">
        <f t="shared" si="0"/>
        <v>0</v>
      </c>
    </row>
    <row r="62" spans="1:6" ht="12.75" hidden="1">
      <c r="A62" s="87"/>
      <c r="B62" s="212"/>
      <c r="C62" s="212"/>
      <c r="D62" s="212"/>
      <c r="E62" s="212"/>
      <c r="F62" s="213">
        <f t="shared" si="0"/>
        <v>0</v>
      </c>
    </row>
    <row r="63" spans="1:6" ht="12.75" hidden="1">
      <c r="A63" s="87"/>
      <c r="B63" s="212"/>
      <c r="C63" s="212"/>
      <c r="D63" s="212"/>
      <c r="E63" s="212"/>
      <c r="F63" s="213">
        <f t="shared" si="0"/>
        <v>0</v>
      </c>
    </row>
    <row r="64" spans="1:6" ht="12.75" hidden="1">
      <c r="A64" s="65" t="s">
        <v>322</v>
      </c>
      <c r="B64" s="212"/>
      <c r="C64" s="212"/>
      <c r="D64" s="212"/>
      <c r="E64" s="212"/>
      <c r="F64" s="213">
        <f t="shared" si="0"/>
        <v>0</v>
      </c>
    </row>
    <row r="65" spans="1:6" ht="12.75" hidden="1">
      <c r="A65" s="87"/>
      <c r="B65" s="212"/>
      <c r="C65" s="212"/>
      <c r="D65" s="212"/>
      <c r="E65" s="212"/>
      <c r="F65" s="213">
        <f t="shared" si="0"/>
        <v>0</v>
      </c>
    </row>
    <row r="66" spans="1:6" ht="10.5" customHeight="1">
      <c r="A66" s="87"/>
      <c r="B66" s="212"/>
      <c r="C66" s="212"/>
      <c r="D66" s="212"/>
      <c r="E66" s="212"/>
      <c r="F66" s="213">
        <f t="shared" si="0"/>
        <v>0</v>
      </c>
    </row>
    <row r="67" spans="1:6" ht="13.5" thickBot="1">
      <c r="A67" s="88" t="s">
        <v>191</v>
      </c>
      <c r="B67" s="214"/>
      <c r="C67" s="214"/>
      <c r="D67" s="214"/>
      <c r="E67" s="214"/>
      <c r="F67" s="215">
        <f>SUM(F58:F66)</f>
        <v>30000</v>
      </c>
    </row>
    <row r="69" ht="10.5" customHeight="1"/>
    <row r="70" spans="1:82" ht="12.75">
      <c r="A70" s="216" t="s">
        <v>464</v>
      </c>
      <c r="B70" s="70"/>
      <c r="C70" s="332"/>
      <c r="D70" s="332"/>
      <c r="E70" s="217" t="s">
        <v>462</v>
      </c>
      <c r="F70" s="216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</row>
    <row r="71" spans="1:82" ht="12.75">
      <c r="A71" s="73"/>
      <c r="B71" s="73"/>
      <c r="C71" s="73"/>
      <c r="D71" s="73"/>
      <c r="E71" s="219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</row>
    <row r="72" spans="1:82" ht="12.75" hidden="1">
      <c r="A72" s="73"/>
      <c r="B72" s="73"/>
      <c r="C72" s="73"/>
      <c r="D72" s="73"/>
      <c r="E72" s="219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</row>
    <row r="73" spans="1:82" ht="12.75">
      <c r="A73" s="61" t="s">
        <v>465</v>
      </c>
      <c r="B73" s="73"/>
      <c r="C73" s="331"/>
      <c r="D73" s="331"/>
      <c r="E73" s="219" t="s">
        <v>463</v>
      </c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</row>
    <row r="74" spans="7:82" ht="12.75"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</row>
  </sheetData>
  <sheetProtection/>
  <mergeCells count="5">
    <mergeCell ref="A57:F57"/>
    <mergeCell ref="E1:F1"/>
    <mergeCell ref="A2:F2"/>
    <mergeCell ref="A33:F33"/>
    <mergeCell ref="A45:F45"/>
  </mergeCells>
  <printOptions/>
  <pageMargins left="0.3937007874015748" right="0" top="0.2755905511811024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37">
      <selection activeCell="E63" sqref="E63:E64"/>
    </sheetView>
  </sheetViews>
  <sheetFormatPr defaultColWidth="9.140625" defaultRowHeight="15"/>
  <cols>
    <col min="1" max="1" width="23.421875" style="56" customWidth="1"/>
    <col min="2" max="2" width="16.8515625" style="56" customWidth="1"/>
    <col min="3" max="4" width="12.8515625" style="56" customWidth="1"/>
    <col min="5" max="5" width="13.00390625" style="56" customWidth="1"/>
    <col min="6" max="6" width="12.00390625" style="56" customWidth="1"/>
    <col min="7" max="16384" width="9.140625" style="56" customWidth="1"/>
  </cols>
  <sheetData>
    <row r="1" spans="5:6" ht="12.75">
      <c r="E1" s="664" t="s">
        <v>219</v>
      </c>
      <c r="F1" s="664"/>
    </row>
    <row r="2" spans="1:6" ht="18.75">
      <c r="A2" s="659" t="s">
        <v>220</v>
      </c>
      <c r="B2" s="659"/>
      <c r="C2" s="659"/>
      <c r="D2" s="659"/>
      <c r="E2" s="659"/>
      <c r="F2" s="659"/>
    </row>
    <row r="3" spans="1:6" s="91" customFormat="1" ht="12.75">
      <c r="A3" s="90"/>
      <c r="B3" s="90"/>
      <c r="C3" s="90"/>
      <c r="D3" s="90"/>
      <c r="E3" s="90"/>
      <c r="F3" s="90"/>
    </row>
    <row r="4" spans="1:6" ht="13.5" thickBot="1">
      <c r="A4" s="90"/>
      <c r="B4" s="90"/>
      <c r="C4" s="90"/>
      <c r="D4" s="90"/>
      <c r="E4" s="90"/>
      <c r="F4" s="90"/>
    </row>
    <row r="5" spans="1:6" s="55" customFormat="1" ht="25.5">
      <c r="A5" s="92"/>
      <c r="B5" s="93" t="s">
        <v>200</v>
      </c>
      <c r="C5" s="93" t="s">
        <v>201</v>
      </c>
      <c r="D5" s="93" t="s">
        <v>187</v>
      </c>
      <c r="E5" s="64" t="s">
        <v>188</v>
      </c>
      <c r="F5" s="94" t="s">
        <v>202</v>
      </c>
    </row>
    <row r="6" spans="1:6" ht="12.75">
      <c r="A6" s="104" t="s">
        <v>221</v>
      </c>
      <c r="B6" s="95"/>
      <c r="C6" s="95"/>
      <c r="D6" s="95"/>
      <c r="E6" s="95"/>
      <c r="F6" s="96">
        <f>ROUND(B6*C6*D6*E6,2)</f>
        <v>0</v>
      </c>
    </row>
    <row r="7" spans="1:6" ht="12.75">
      <c r="A7" s="104" t="s">
        <v>222</v>
      </c>
      <c r="B7" s="95"/>
      <c r="C7" s="95"/>
      <c r="D7" s="95"/>
      <c r="E7" s="95"/>
      <c r="F7" s="96"/>
    </row>
    <row r="8" spans="1:6" ht="12.75">
      <c r="A8" s="65" t="s">
        <v>205</v>
      </c>
      <c r="B8" s="95"/>
      <c r="C8" s="95">
        <v>1</v>
      </c>
      <c r="D8" s="95">
        <v>1</v>
      </c>
      <c r="E8" s="95">
        <v>1.065</v>
      </c>
      <c r="F8" s="96">
        <f>ROUND(B8*C8*D8*E8,2)</f>
        <v>0</v>
      </c>
    </row>
    <row r="9" spans="1:6" ht="25.5">
      <c r="A9" s="65" t="s">
        <v>206</v>
      </c>
      <c r="B9" s="95"/>
      <c r="C9" s="95">
        <v>1</v>
      </c>
      <c r="D9" s="95">
        <v>12</v>
      </c>
      <c r="E9" s="95">
        <v>1</v>
      </c>
      <c r="F9" s="96">
        <f>ROUND(B9*C9*D9*E9,2)</f>
        <v>0</v>
      </c>
    </row>
    <row r="10" spans="1:6" ht="12.75">
      <c r="A10" s="97" t="s">
        <v>223</v>
      </c>
      <c r="B10" s="95"/>
      <c r="C10" s="95"/>
      <c r="D10" s="95"/>
      <c r="E10" s="95"/>
      <c r="F10" s="96">
        <f>SUM(F6:F9)</f>
        <v>0</v>
      </c>
    </row>
    <row r="11" spans="1:6" ht="12.75">
      <c r="A11" s="97" t="s">
        <v>207</v>
      </c>
      <c r="B11" s="95"/>
      <c r="C11" s="95">
        <v>1</v>
      </c>
      <c r="D11" s="95">
        <v>12</v>
      </c>
      <c r="E11" s="95">
        <v>1.065</v>
      </c>
      <c r="F11" s="96">
        <f>ROUND(B11*C11*D11*E11,2)</f>
        <v>0</v>
      </c>
    </row>
    <row r="12" spans="1:6" ht="38.25">
      <c r="A12" s="97" t="s">
        <v>208</v>
      </c>
      <c r="B12" s="95"/>
      <c r="C12" s="95">
        <v>1</v>
      </c>
      <c r="D12" s="95">
        <v>1</v>
      </c>
      <c r="E12" s="95">
        <v>1</v>
      </c>
      <c r="F12" s="96">
        <f>ROUND(B12*C12*D12*E12,2)</f>
        <v>0</v>
      </c>
    </row>
    <row r="13" spans="1:6" ht="12.75">
      <c r="A13" s="97"/>
      <c r="B13" s="95"/>
      <c r="C13" s="95"/>
      <c r="D13" s="95"/>
      <c r="E13" s="95"/>
      <c r="F13" s="96"/>
    </row>
    <row r="14" spans="1:6" ht="12.75">
      <c r="A14" s="97"/>
      <c r="B14" s="95"/>
      <c r="C14" s="95"/>
      <c r="D14" s="95"/>
      <c r="E14" s="95"/>
      <c r="F14" s="96"/>
    </row>
    <row r="15" spans="1:6" ht="12.75">
      <c r="A15" s="97"/>
      <c r="B15" s="95"/>
      <c r="C15" s="95"/>
      <c r="D15" s="95"/>
      <c r="E15" s="95"/>
      <c r="F15" s="96"/>
    </row>
    <row r="16" spans="1:6" ht="12.75">
      <c r="A16" s="97"/>
      <c r="B16" s="95"/>
      <c r="C16" s="95"/>
      <c r="D16" s="95"/>
      <c r="E16" s="95"/>
      <c r="F16" s="96"/>
    </row>
    <row r="17" spans="1:6" ht="12.75">
      <c r="A17" s="97"/>
      <c r="B17" s="95"/>
      <c r="C17" s="95"/>
      <c r="D17" s="95"/>
      <c r="E17" s="95"/>
      <c r="F17" s="96"/>
    </row>
    <row r="18" spans="1:6" ht="12.75">
      <c r="A18" s="97"/>
      <c r="B18" s="95"/>
      <c r="C18" s="95"/>
      <c r="D18" s="95"/>
      <c r="E18" s="95"/>
      <c r="F18" s="96"/>
    </row>
    <row r="19" spans="1:6" ht="12.75">
      <c r="A19" s="97"/>
      <c r="B19" s="95"/>
      <c r="C19" s="95"/>
      <c r="D19" s="95"/>
      <c r="E19" s="95"/>
      <c r="F19" s="96"/>
    </row>
    <row r="20" spans="1:6" ht="12.75">
      <c r="A20" s="97"/>
      <c r="B20" s="95"/>
      <c r="C20" s="95"/>
      <c r="D20" s="95"/>
      <c r="E20" s="95"/>
      <c r="F20" s="96"/>
    </row>
    <row r="21" spans="1:6" ht="12.75">
      <c r="A21" s="97"/>
      <c r="B21" s="95"/>
      <c r="C21" s="95"/>
      <c r="D21" s="95"/>
      <c r="E21" s="95"/>
      <c r="F21" s="96"/>
    </row>
    <row r="22" spans="1:6" ht="13.5" thickBot="1">
      <c r="A22" s="99"/>
      <c r="B22" s="100"/>
      <c r="C22" s="100"/>
      <c r="D22" s="100"/>
      <c r="E22" s="100"/>
      <c r="F22" s="101"/>
    </row>
    <row r="23" spans="1:6" ht="32.25" customHeight="1">
      <c r="A23" s="659" t="s">
        <v>224</v>
      </c>
      <c r="B23" s="665"/>
      <c r="C23" s="665"/>
      <c r="D23" s="665"/>
      <c r="E23" s="665"/>
      <c r="F23" s="665"/>
    </row>
    <row r="24" ht="13.5" thickBot="1">
      <c r="A24" s="55"/>
    </row>
    <row r="25" spans="1:6" ht="25.5">
      <c r="A25" s="92"/>
      <c r="B25" s="93" t="s">
        <v>200</v>
      </c>
      <c r="C25" s="93" t="s">
        <v>201</v>
      </c>
      <c r="D25" s="93" t="s">
        <v>187</v>
      </c>
      <c r="E25" s="64" t="s">
        <v>188</v>
      </c>
      <c r="F25" s="94" t="s">
        <v>202</v>
      </c>
    </row>
    <row r="26" spans="1:6" ht="12.75">
      <c r="A26" s="104" t="s">
        <v>225</v>
      </c>
      <c r="B26" s="95"/>
      <c r="C26" s="95"/>
      <c r="D26" s="95"/>
      <c r="E26" s="95"/>
      <c r="F26" s="96">
        <f>ROUND(B26*C26*D26*E26,2)</f>
        <v>0</v>
      </c>
    </row>
    <row r="27" spans="1:6" ht="12.75">
      <c r="A27" s="104" t="s">
        <v>226</v>
      </c>
      <c r="B27" s="95"/>
      <c r="C27" s="95"/>
      <c r="D27" s="95"/>
      <c r="E27" s="95"/>
      <c r="F27" s="96"/>
    </row>
    <row r="28" spans="1:6" ht="12.75">
      <c r="A28" s="104" t="s">
        <v>227</v>
      </c>
      <c r="B28" s="95"/>
      <c r="C28" s="95"/>
      <c r="D28" s="95"/>
      <c r="E28" s="95"/>
      <c r="F28" s="96">
        <f>ROUND(B28*C28*D28*E28,2)</f>
        <v>0</v>
      </c>
    </row>
    <row r="29" spans="1:6" ht="13.5" thickBot="1">
      <c r="A29" s="66" t="s">
        <v>191</v>
      </c>
      <c r="B29" s="100"/>
      <c r="C29" s="100"/>
      <c r="D29" s="100"/>
      <c r="E29" s="100"/>
      <c r="F29" s="101">
        <f>F26+F27+F28</f>
        <v>0</v>
      </c>
    </row>
    <row r="30" ht="12.75">
      <c r="A30" s="55"/>
    </row>
    <row r="31" ht="12.75">
      <c r="A31" s="55"/>
    </row>
    <row r="32" spans="1:6" ht="37.5" customHeight="1">
      <c r="A32" s="666" t="s">
        <v>228</v>
      </c>
      <c r="B32" s="667"/>
      <c r="C32" s="667"/>
      <c r="D32" s="667"/>
      <c r="E32" s="667"/>
      <c r="F32" s="668"/>
    </row>
    <row r="33" ht="12.75">
      <c r="A33" s="105"/>
    </row>
    <row r="34" ht="13.5" thickBot="1">
      <c r="A34" s="105"/>
    </row>
    <row r="35" spans="1:6" ht="51">
      <c r="A35" s="106"/>
      <c r="B35" s="93" t="s">
        <v>229</v>
      </c>
      <c r="C35" s="93" t="s">
        <v>230</v>
      </c>
      <c r="D35" s="93"/>
      <c r="E35" s="93"/>
      <c r="F35" s="94" t="s">
        <v>231</v>
      </c>
    </row>
    <row r="36" spans="1:6" ht="12.75">
      <c r="A36" s="104" t="s">
        <v>232</v>
      </c>
      <c r="B36" s="95"/>
      <c r="C36" s="95">
        <v>1</v>
      </c>
      <c r="D36" s="95"/>
      <c r="E36" s="95"/>
      <c r="F36" s="96">
        <f>ROUND(B36*C36,2)</f>
        <v>0</v>
      </c>
    </row>
    <row r="37" spans="1:6" ht="13.5" thickBot="1">
      <c r="A37" s="88"/>
      <c r="B37" s="100"/>
      <c r="C37" s="100"/>
      <c r="D37" s="100"/>
      <c r="E37" s="100"/>
      <c r="F37" s="101">
        <f>ROUND(B37*C37*D37*E37,2)</f>
        <v>0</v>
      </c>
    </row>
    <row r="40" spans="1:6" ht="18.75">
      <c r="A40" s="662" t="s">
        <v>233</v>
      </c>
      <c r="B40" s="663"/>
      <c r="C40" s="663"/>
      <c r="D40" s="663"/>
      <c r="E40" s="663"/>
      <c r="F40" s="663"/>
    </row>
    <row r="41" ht="13.5" thickBot="1"/>
    <row r="42" spans="1:6" ht="25.5">
      <c r="A42" s="92"/>
      <c r="B42" s="93" t="s">
        <v>200</v>
      </c>
      <c r="C42" s="93" t="s">
        <v>201</v>
      </c>
      <c r="D42" s="93" t="s">
        <v>187</v>
      </c>
      <c r="E42" s="64" t="s">
        <v>188</v>
      </c>
      <c r="F42" s="94" t="s">
        <v>202</v>
      </c>
    </row>
    <row r="43" spans="1:6" ht="12.75">
      <c r="A43" s="65"/>
      <c r="B43" s="95"/>
      <c r="C43" s="95"/>
      <c r="D43" s="95"/>
      <c r="E43" s="95"/>
      <c r="F43" s="96">
        <f>ROUND(B43*C43*D43*E43,2)</f>
        <v>0</v>
      </c>
    </row>
    <row r="44" spans="1:6" ht="12.75">
      <c r="A44" s="65"/>
      <c r="B44" s="95"/>
      <c r="C44" s="95"/>
      <c r="D44" s="95"/>
      <c r="E44" s="95"/>
      <c r="F44" s="96">
        <f>ROUND(B44*C44*D44*E44,2)</f>
        <v>0</v>
      </c>
    </row>
    <row r="45" spans="1:6" ht="13.5" thickBot="1">
      <c r="A45" s="66"/>
      <c r="B45" s="100"/>
      <c r="C45" s="100"/>
      <c r="D45" s="100"/>
      <c r="E45" s="100"/>
      <c r="F45" s="101">
        <f>ROUND(B45*C45*D45*E45,2)</f>
        <v>0</v>
      </c>
    </row>
    <row r="49" spans="1:82" s="73" customFormat="1" ht="12.75">
      <c r="A49" s="216" t="s">
        <v>464</v>
      </c>
      <c r="B49" s="70"/>
      <c r="C49" s="332"/>
      <c r="D49" s="332"/>
      <c r="E49" s="217" t="s">
        <v>462</v>
      </c>
      <c r="F49" s="216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</row>
    <row r="50" spans="5:82" s="73" customFormat="1" ht="12.75">
      <c r="E50" s="219"/>
      <c r="F50" s="6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</row>
    <row r="51" spans="5:82" s="73" customFormat="1" ht="12.75">
      <c r="E51" s="219"/>
      <c r="F51" s="61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</row>
    <row r="52" spans="1:82" s="73" customFormat="1" ht="12.75">
      <c r="A52" s="61" t="s">
        <v>465</v>
      </c>
      <c r="C52" s="331"/>
      <c r="D52" s="331"/>
      <c r="E52" s="219" t="s">
        <v>463</v>
      </c>
      <c r="F52" s="6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</row>
    <row r="53" spans="7:82" s="73" customFormat="1" ht="12.75"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</row>
  </sheetData>
  <sheetProtection/>
  <mergeCells count="5">
    <mergeCell ref="A40:F40"/>
    <mergeCell ref="E1:F1"/>
    <mergeCell ref="A2:F2"/>
    <mergeCell ref="A23:F23"/>
    <mergeCell ref="A32:F3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26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7.7109375" style="105" customWidth="1"/>
    <col min="2" max="2" width="10.00390625" style="105" customWidth="1"/>
    <col min="3" max="3" width="11.8515625" style="56" customWidth="1"/>
    <col min="4" max="4" width="13.57421875" style="56" customWidth="1"/>
    <col min="5" max="5" width="13.421875" style="56" customWidth="1"/>
    <col min="6" max="6" width="15.421875" style="56" customWidth="1"/>
    <col min="7" max="16384" width="9.140625" style="56" customWidth="1"/>
  </cols>
  <sheetData>
    <row r="1" ht="12.75">
      <c r="F1" s="89"/>
    </row>
    <row r="2" spans="1:6" ht="15">
      <c r="A2" s="669" t="s">
        <v>234</v>
      </c>
      <c r="B2" s="669"/>
      <c r="C2" s="669"/>
      <c r="D2" s="669"/>
      <c r="E2" s="669"/>
      <c r="F2" s="669"/>
    </row>
    <row r="4" ht="13.5" thickBot="1"/>
    <row r="5" spans="1:6" s="55" customFormat="1" ht="63.75">
      <c r="A5" s="106"/>
      <c r="B5" s="107" t="s">
        <v>235</v>
      </c>
      <c r="C5" s="93" t="s">
        <v>230</v>
      </c>
      <c r="D5" s="93" t="s">
        <v>236</v>
      </c>
      <c r="E5" s="93" t="s">
        <v>188</v>
      </c>
      <c r="F5" s="94" t="s">
        <v>237</v>
      </c>
    </row>
    <row r="6" spans="1:6" ht="12.75">
      <c r="A6" s="65" t="s">
        <v>238</v>
      </c>
      <c r="B6" s="108" t="s">
        <v>239</v>
      </c>
      <c r="C6" s="109">
        <v>701</v>
      </c>
      <c r="D6" s="109">
        <v>18.42</v>
      </c>
      <c r="E6" s="109">
        <v>1</v>
      </c>
      <c r="F6" s="456">
        <f aca="true" t="shared" si="0" ref="F6:F12">ROUND(C6*D6*E6,2)</f>
        <v>12912.42</v>
      </c>
    </row>
    <row r="7" spans="1:6" ht="12.75">
      <c r="A7" s="65" t="s">
        <v>238</v>
      </c>
      <c r="B7" s="108" t="s">
        <v>239</v>
      </c>
      <c r="C7" s="109">
        <v>947</v>
      </c>
      <c r="D7" s="109">
        <v>17.73</v>
      </c>
      <c r="E7" s="109">
        <v>1</v>
      </c>
      <c r="F7" s="456">
        <f t="shared" si="0"/>
        <v>16790.31</v>
      </c>
    </row>
    <row r="8" spans="1:6" ht="12.75">
      <c r="A8" s="65" t="s">
        <v>240</v>
      </c>
      <c r="B8" s="108" t="s">
        <v>239</v>
      </c>
      <c r="C8" s="109">
        <v>701</v>
      </c>
      <c r="D8" s="109">
        <v>12.22</v>
      </c>
      <c r="E8" s="109">
        <v>1</v>
      </c>
      <c r="F8" s="456">
        <f t="shared" si="0"/>
        <v>8566.22</v>
      </c>
    </row>
    <row r="9" spans="1:6" ht="12.75">
      <c r="A9" s="65" t="s">
        <v>240</v>
      </c>
      <c r="B9" s="108" t="s">
        <v>239</v>
      </c>
      <c r="C9" s="109">
        <v>947</v>
      </c>
      <c r="D9" s="109">
        <v>11.77</v>
      </c>
      <c r="E9" s="109">
        <v>1</v>
      </c>
      <c r="F9" s="456">
        <f t="shared" si="0"/>
        <v>11146.19</v>
      </c>
    </row>
    <row r="10" spans="1:6" ht="12.75" hidden="1">
      <c r="A10" s="87" t="s">
        <v>176</v>
      </c>
      <c r="B10" s="111" t="s">
        <v>239</v>
      </c>
      <c r="C10" s="109">
        <v>0</v>
      </c>
      <c r="D10" s="109">
        <v>0</v>
      </c>
      <c r="E10" s="109">
        <v>1</v>
      </c>
      <c r="F10" s="456">
        <f t="shared" si="0"/>
        <v>0</v>
      </c>
    </row>
    <row r="11" spans="1:6" ht="12.75" hidden="1">
      <c r="A11" s="87" t="s">
        <v>176</v>
      </c>
      <c r="B11" s="111" t="s">
        <v>239</v>
      </c>
      <c r="C11" s="109">
        <v>0</v>
      </c>
      <c r="D11" s="109">
        <v>0</v>
      </c>
      <c r="E11" s="109">
        <v>1</v>
      </c>
      <c r="F11" s="456">
        <f t="shared" si="0"/>
        <v>0</v>
      </c>
    </row>
    <row r="12" spans="1:6" ht="12.75">
      <c r="A12" s="87" t="s">
        <v>241</v>
      </c>
      <c r="B12" s="111" t="s">
        <v>242</v>
      </c>
      <c r="C12" s="109">
        <v>569.81</v>
      </c>
      <c r="D12" s="109">
        <v>1274.98</v>
      </c>
      <c r="E12" s="109">
        <v>1</v>
      </c>
      <c r="F12" s="456">
        <f t="shared" si="0"/>
        <v>726496.35</v>
      </c>
    </row>
    <row r="13" spans="1:6" ht="12.75">
      <c r="A13" s="87" t="s">
        <v>241</v>
      </c>
      <c r="B13" s="111" t="s">
        <v>242</v>
      </c>
      <c r="C13" s="109">
        <v>139.9</v>
      </c>
      <c r="D13" s="109">
        <v>1350.19</v>
      </c>
      <c r="E13" s="109">
        <v>1</v>
      </c>
      <c r="F13" s="456">
        <f>ROUND(C13*D13*E13,2)-0.82</f>
        <v>188890.75999999998</v>
      </c>
    </row>
    <row r="14" spans="1:6" ht="12.75" hidden="1">
      <c r="A14" s="87" t="s">
        <v>431</v>
      </c>
      <c r="B14" s="111"/>
      <c r="C14" s="109"/>
      <c r="D14" s="109"/>
      <c r="E14" s="109"/>
      <c r="F14" s="456"/>
    </row>
    <row r="15" spans="1:6" ht="12.75">
      <c r="A15" s="87" t="s">
        <v>243</v>
      </c>
      <c r="B15" s="111" t="s">
        <v>244</v>
      </c>
      <c r="C15" s="109"/>
      <c r="D15" s="112">
        <v>517565.75</v>
      </c>
      <c r="E15" s="109">
        <v>1</v>
      </c>
      <c r="F15" s="456">
        <f>ROUND(D15*E15,2)</f>
        <v>517565.75</v>
      </c>
    </row>
    <row r="16" spans="1:6" ht="12.75" hidden="1">
      <c r="A16" s="87" t="s">
        <v>243</v>
      </c>
      <c r="B16" s="111" t="s">
        <v>244</v>
      </c>
      <c r="C16" s="109"/>
      <c r="D16" s="112"/>
      <c r="E16" s="109"/>
      <c r="F16" s="110">
        <f>ROUND(C16*D16*E16,2)</f>
        <v>0</v>
      </c>
    </row>
    <row r="17" spans="1:6" ht="39" hidden="1" thickBot="1">
      <c r="A17" s="66" t="s">
        <v>245</v>
      </c>
      <c r="B17" s="113" t="s">
        <v>239</v>
      </c>
      <c r="C17" s="114"/>
      <c r="D17" s="114"/>
      <c r="E17" s="114"/>
      <c r="F17" s="110">
        <f>ROUND(C17*D17*E17,2)</f>
        <v>0</v>
      </c>
    </row>
    <row r="19" ht="12.75">
      <c r="C19" s="115"/>
    </row>
    <row r="20" spans="3:6" ht="12.75">
      <c r="C20" s="115"/>
      <c r="F20" s="115"/>
    </row>
    <row r="21" ht="12.75">
      <c r="C21" s="115"/>
    </row>
    <row r="22" spans="1:82" s="73" customFormat="1" ht="12.75">
      <c r="A22" s="216" t="s">
        <v>464</v>
      </c>
      <c r="B22" s="70"/>
      <c r="C22" s="332"/>
      <c r="D22" s="332"/>
      <c r="E22" s="217" t="s">
        <v>462</v>
      </c>
      <c r="F22" s="216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</row>
    <row r="23" spans="5:82" s="73" customFormat="1" ht="12.75">
      <c r="E23" s="219"/>
      <c r="F23" s="6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</row>
    <row r="24" spans="5:82" s="73" customFormat="1" ht="12.75">
      <c r="E24" s="219"/>
      <c r="F24" s="6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</row>
    <row r="25" spans="1:82" s="73" customFormat="1" ht="12.75">
      <c r="A25" s="61" t="s">
        <v>465</v>
      </c>
      <c r="C25" s="331"/>
      <c r="D25" s="331"/>
      <c r="E25" s="219" t="s">
        <v>463</v>
      </c>
      <c r="F25" s="6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</row>
    <row r="26" spans="6:81" s="73" customFormat="1" ht="12.75"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</row>
  </sheetData>
  <sheetProtection/>
  <mergeCells count="1">
    <mergeCell ref="A2:F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2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8.8515625" style="61" customWidth="1"/>
    <col min="2" max="2" width="15.7109375" style="61" customWidth="1"/>
    <col min="3" max="3" width="14.140625" style="61" customWidth="1"/>
    <col min="4" max="4" width="11.28125" style="61" customWidth="1"/>
    <col min="5" max="5" width="9.140625" style="61" customWidth="1"/>
    <col min="6" max="6" width="13.28125" style="61" customWidth="1"/>
    <col min="7" max="9" width="9.140625" style="61" customWidth="1"/>
    <col min="10" max="16384" width="9.140625" style="56" customWidth="1"/>
  </cols>
  <sheetData>
    <row r="1" spans="5:6" ht="12.75">
      <c r="E1" s="658" t="s">
        <v>246</v>
      </c>
      <c r="F1" s="658"/>
    </row>
    <row r="2" spans="1:4" ht="18.75">
      <c r="A2" s="662" t="s">
        <v>247</v>
      </c>
      <c r="B2" s="658"/>
      <c r="C2" s="658"/>
      <c r="D2" s="658"/>
    </row>
    <row r="3" spans="1:4" ht="18.75">
      <c r="A3" s="102"/>
      <c r="B3" s="339"/>
      <c r="C3" s="339"/>
      <c r="D3" s="339"/>
    </row>
    <row r="4" spans="1:4" ht="19.5" thickBot="1">
      <c r="A4" s="102"/>
      <c r="B4" s="339"/>
      <c r="C4" s="339"/>
      <c r="D4" s="339"/>
    </row>
    <row r="5" spans="1:9" s="117" customFormat="1" ht="39" customHeight="1">
      <c r="A5" s="76"/>
      <c r="B5" s="64" t="s">
        <v>248</v>
      </c>
      <c r="C5" s="116" t="s">
        <v>249</v>
      </c>
      <c r="D5" s="77" t="s">
        <v>247</v>
      </c>
      <c r="E5" s="60"/>
      <c r="F5" s="60"/>
      <c r="G5" s="60"/>
      <c r="H5" s="60"/>
      <c r="I5" s="60"/>
    </row>
    <row r="6" spans="1:4" ht="12.75">
      <c r="A6" s="87" t="s">
        <v>250</v>
      </c>
      <c r="B6" s="343">
        <v>5796955</v>
      </c>
      <c r="C6" s="340">
        <v>0.022</v>
      </c>
      <c r="D6" s="457">
        <f>ROUND(B6*C6,0)</f>
        <v>127533</v>
      </c>
    </row>
    <row r="7" spans="1:4" ht="12.75">
      <c r="A7" s="87" t="s">
        <v>251</v>
      </c>
      <c r="B7" s="343">
        <v>50828462</v>
      </c>
      <c r="C7" s="340">
        <v>0.015</v>
      </c>
      <c r="D7" s="457">
        <f>ROUND(B7*C7,0)</f>
        <v>762427</v>
      </c>
    </row>
    <row r="8" spans="1:4" ht="12.75">
      <c r="A8" s="87" t="s">
        <v>252</v>
      </c>
      <c r="B8" s="343"/>
      <c r="C8" s="340"/>
      <c r="D8" s="345"/>
    </row>
    <row r="9" spans="1:4" ht="12.75">
      <c r="A9" s="87" t="s">
        <v>444</v>
      </c>
      <c r="B9" s="343"/>
      <c r="C9" s="340"/>
      <c r="D9" s="345">
        <v>2600</v>
      </c>
    </row>
    <row r="10" spans="1:4" ht="13.5" thickBot="1">
      <c r="A10" s="88" t="s">
        <v>430</v>
      </c>
      <c r="B10" s="344"/>
      <c r="C10" s="214"/>
      <c r="D10" s="458">
        <v>10000</v>
      </c>
    </row>
    <row r="16" spans="1:82" s="73" customFormat="1" ht="12.75">
      <c r="A16" s="216" t="s">
        <v>469</v>
      </c>
      <c r="B16" s="216"/>
      <c r="C16" s="341"/>
      <c r="D16" s="341"/>
      <c r="E16" s="217" t="s">
        <v>462</v>
      </c>
      <c r="F16" s="216"/>
      <c r="G16" s="218"/>
      <c r="H16" s="218"/>
      <c r="I16" s="218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</row>
    <row r="17" spans="1:82" s="73" customFormat="1" ht="12.75">
      <c r="A17" s="61"/>
      <c r="B17" s="61"/>
      <c r="C17" s="61"/>
      <c r="D17" s="61"/>
      <c r="E17" s="219"/>
      <c r="F17" s="61"/>
      <c r="G17" s="218"/>
      <c r="H17" s="218"/>
      <c r="I17" s="218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</row>
    <row r="18" spans="1:82" s="73" customFormat="1" ht="12.75">
      <c r="A18" s="61"/>
      <c r="B18" s="61"/>
      <c r="C18" s="61"/>
      <c r="D18" s="61"/>
      <c r="E18" s="219"/>
      <c r="F18" s="61"/>
      <c r="G18" s="218"/>
      <c r="H18" s="218"/>
      <c r="I18" s="218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</row>
    <row r="19" spans="1:82" s="73" customFormat="1" ht="12.75">
      <c r="A19" s="61" t="s">
        <v>465</v>
      </c>
      <c r="B19" s="61"/>
      <c r="C19" s="342"/>
      <c r="D19" s="342"/>
      <c r="E19" s="219" t="s">
        <v>463</v>
      </c>
      <c r="F19" s="61"/>
      <c r="G19" s="218"/>
      <c r="H19" s="218"/>
      <c r="I19" s="218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</row>
    <row r="20" spans="1:82" s="73" customFormat="1" ht="12.75">
      <c r="A20" s="61"/>
      <c r="B20" s="61"/>
      <c r="C20" s="61"/>
      <c r="D20" s="61"/>
      <c r="E20" s="61"/>
      <c r="F20" s="61"/>
      <c r="G20" s="218"/>
      <c r="H20" s="218"/>
      <c r="I20" s="218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</row>
  </sheetData>
  <sheetProtection/>
  <mergeCells count="2">
    <mergeCell ref="E1:F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141"/>
  <sheetViews>
    <sheetView zoomScalePageLayoutView="0" workbookViewId="0" topLeftCell="A109">
      <selection activeCell="G135" sqref="G135"/>
    </sheetView>
  </sheetViews>
  <sheetFormatPr defaultColWidth="9.140625" defaultRowHeight="15"/>
  <cols>
    <col min="1" max="1" width="29.00390625" style="73" customWidth="1"/>
    <col min="2" max="2" width="20.140625" style="73" customWidth="1"/>
    <col min="3" max="3" width="20.140625" style="73" hidden="1" customWidth="1"/>
    <col min="4" max="4" width="25.8515625" style="73" customWidth="1"/>
    <col min="5" max="5" width="12.00390625" style="73" hidden="1" customWidth="1"/>
    <col min="6" max="6" width="25.8515625" style="73" customWidth="1"/>
    <col min="7" max="9" width="18.421875" style="72" customWidth="1"/>
    <col min="10" max="82" width="9.140625" style="72" customWidth="1"/>
    <col min="83" max="16384" width="9.140625" style="73" customWidth="1"/>
  </cols>
  <sheetData>
    <row r="1" spans="1:6" ht="36.75" customHeight="1">
      <c r="A1" s="670" t="s">
        <v>253</v>
      </c>
      <c r="B1" s="670"/>
      <c r="C1" s="670"/>
      <c r="D1" s="670"/>
      <c r="E1" s="670"/>
      <c r="F1" s="670"/>
    </row>
    <row r="2" spans="1:16" ht="49.5" customHeight="1">
      <c r="A2" s="671" t="s">
        <v>466</v>
      </c>
      <c r="B2" s="671"/>
      <c r="C2" s="671"/>
      <c r="D2" s="671"/>
      <c r="E2" s="671"/>
      <c r="F2" s="671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6" ht="43.5" customHeight="1">
      <c r="A3" s="672" t="s">
        <v>145</v>
      </c>
      <c r="B3" s="672"/>
      <c r="C3" s="672"/>
      <c r="D3" s="672"/>
      <c r="E3" s="672"/>
      <c r="F3" s="672"/>
    </row>
    <row r="4" ht="8.25" customHeight="1"/>
    <row r="5" spans="1:6" ht="45" customHeight="1">
      <c r="A5" s="660" t="s">
        <v>254</v>
      </c>
      <c r="B5" s="673"/>
      <c r="C5" s="673"/>
      <c r="D5" s="673"/>
      <c r="E5" s="673"/>
      <c r="F5" s="673"/>
    </row>
    <row r="6" spans="1:6" ht="28.5" customHeight="1">
      <c r="A6" s="119" t="s">
        <v>255</v>
      </c>
      <c r="B6" s="120"/>
      <c r="C6" s="120"/>
      <c r="D6" s="121">
        <f>'мун.задание'!P67</f>
        <v>432</v>
      </c>
      <c r="E6" s="120"/>
      <c r="F6" s="120"/>
    </row>
    <row r="7" ht="15.75" customHeight="1" thickBot="1">
      <c r="D7" s="414"/>
    </row>
    <row r="8" spans="1:6" ht="47.25" customHeight="1" thickBot="1">
      <c r="A8" s="122" t="s">
        <v>256</v>
      </c>
      <c r="B8" s="123" t="s">
        <v>16</v>
      </c>
      <c r="C8" s="123" t="s">
        <v>187</v>
      </c>
      <c r="D8" s="123" t="s">
        <v>257</v>
      </c>
      <c r="E8" s="123" t="s">
        <v>188</v>
      </c>
      <c r="F8" s="124" t="s">
        <v>258</v>
      </c>
    </row>
    <row r="9" spans="1:6" ht="36.75" customHeight="1" thickBot="1">
      <c r="A9" s="674" t="s">
        <v>259</v>
      </c>
      <c r="B9" s="675"/>
      <c r="C9" s="675"/>
      <c r="D9" s="675"/>
      <c r="E9" s="675"/>
      <c r="F9" s="676"/>
    </row>
    <row r="10" spans="1:6" ht="45.75" customHeight="1" thickBot="1">
      <c r="A10" s="125" t="s">
        <v>260</v>
      </c>
      <c r="B10" s="126" t="s">
        <v>261</v>
      </c>
      <c r="C10" s="127">
        <v>5</v>
      </c>
      <c r="D10" s="126">
        <f>ROUND(F10/D6,2)</f>
        <v>21310.26</v>
      </c>
      <c r="E10" s="126"/>
      <c r="F10" s="128">
        <f>F16+F21</f>
        <v>9206031</v>
      </c>
    </row>
    <row r="11" spans="1:6" ht="56.25" customHeight="1">
      <c r="A11" s="129" t="s">
        <v>262</v>
      </c>
      <c r="B11" s="130" t="s">
        <v>261</v>
      </c>
      <c r="C11" s="131">
        <v>9</v>
      </c>
      <c r="D11" s="132">
        <f>ROUND(F11/D6,2)</f>
        <v>6435.7</v>
      </c>
      <c r="E11" s="130"/>
      <c r="F11" s="128">
        <f>F17+F22</f>
        <v>2780221</v>
      </c>
    </row>
    <row r="12" spans="1:6" ht="45">
      <c r="A12" s="134" t="s">
        <v>451</v>
      </c>
      <c r="B12" s="130" t="s">
        <v>261</v>
      </c>
      <c r="C12" s="131"/>
      <c r="D12" s="132">
        <f>ROUND(F12/D6,2)</f>
        <v>37.09</v>
      </c>
      <c r="E12" s="130"/>
      <c r="F12" s="133">
        <f>F23</f>
        <v>16023</v>
      </c>
    </row>
    <row r="13" spans="1:6" ht="48" customHeight="1">
      <c r="A13" s="134" t="s">
        <v>263</v>
      </c>
      <c r="B13" s="130" t="s">
        <v>261</v>
      </c>
      <c r="C13" s="130"/>
      <c r="D13" s="132">
        <f>ROUND(F13/D6,2)</f>
        <v>319.47</v>
      </c>
      <c r="E13" s="130"/>
      <c r="F13" s="133">
        <f>F18+F24</f>
        <v>138012</v>
      </c>
    </row>
    <row r="14" spans="1:82" s="138" customFormat="1" ht="18" customHeight="1" thickBot="1">
      <c r="A14" s="135" t="s">
        <v>264</v>
      </c>
      <c r="B14" s="136"/>
      <c r="C14" s="136"/>
      <c r="D14" s="136">
        <f>SUM(D10:E13)</f>
        <v>28102.52</v>
      </c>
      <c r="E14" s="136"/>
      <c r="F14" s="137">
        <f>SUM(F10:F13)</f>
        <v>12140287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</row>
    <row r="15" spans="1:6" s="139" customFormat="1" ht="31.5" customHeight="1" thickBot="1">
      <c r="A15" s="677" t="s">
        <v>265</v>
      </c>
      <c r="B15" s="678"/>
      <c r="C15" s="678"/>
      <c r="D15" s="678"/>
      <c r="E15" s="678"/>
      <c r="F15" s="679"/>
    </row>
    <row r="16" spans="1:6" s="139" customFormat="1" ht="48.75" customHeight="1" thickBot="1">
      <c r="A16" s="125" t="s">
        <v>260</v>
      </c>
      <c r="B16" s="126" t="s">
        <v>261</v>
      </c>
      <c r="C16" s="127">
        <v>5</v>
      </c>
      <c r="D16" s="126">
        <f>ROUND(F16/D6,2)</f>
        <v>0</v>
      </c>
      <c r="E16" s="126"/>
      <c r="F16" s="128">
        <f>'пр.1+2 '!F10</f>
        <v>0</v>
      </c>
    </row>
    <row r="17" spans="1:6" s="139" customFormat="1" ht="36" customHeight="1" thickBot="1">
      <c r="A17" s="129" t="s">
        <v>262</v>
      </c>
      <c r="B17" s="130" t="s">
        <v>261</v>
      </c>
      <c r="C17" s="131">
        <v>9</v>
      </c>
      <c r="D17" s="126">
        <f>ROUND(F17/D6,2)</f>
        <v>0</v>
      </c>
      <c r="E17" s="130"/>
      <c r="F17" s="133">
        <f>'пр.1+2 '!G10</f>
        <v>0</v>
      </c>
    </row>
    <row r="18" spans="1:6" s="139" customFormat="1" ht="21.75" customHeight="1">
      <c r="A18" s="134" t="s">
        <v>263</v>
      </c>
      <c r="B18" s="130" t="s">
        <v>261</v>
      </c>
      <c r="C18" s="130"/>
      <c r="D18" s="126">
        <f>ROUND(F18/D6,2)</f>
        <v>0</v>
      </c>
      <c r="E18" s="130"/>
      <c r="F18" s="140">
        <f>'пр.1+2 '!D14</f>
        <v>0</v>
      </c>
    </row>
    <row r="19" spans="1:7" s="139" customFormat="1" ht="21.75" customHeight="1" thickBot="1">
      <c r="A19" s="135" t="s">
        <v>264</v>
      </c>
      <c r="B19" s="136"/>
      <c r="C19" s="136"/>
      <c r="D19" s="136">
        <f>SUM(D16:D18)</f>
        <v>0</v>
      </c>
      <c r="E19" s="136"/>
      <c r="F19" s="137">
        <f>SUM(F16:F18)</f>
        <v>0</v>
      </c>
      <c r="G19" s="72"/>
    </row>
    <row r="20" spans="1:6" s="139" customFormat="1" ht="45" customHeight="1" thickBot="1">
      <c r="A20" s="680" t="s">
        <v>456</v>
      </c>
      <c r="B20" s="681"/>
      <c r="C20" s="681"/>
      <c r="D20" s="681"/>
      <c r="E20" s="681"/>
      <c r="F20" s="682"/>
    </row>
    <row r="21" spans="1:6" s="139" customFormat="1" ht="47.25" customHeight="1" thickBot="1">
      <c r="A21" s="125" t="s">
        <v>260</v>
      </c>
      <c r="B21" s="126" t="s">
        <v>261</v>
      </c>
      <c r="C21" s="127">
        <v>5</v>
      </c>
      <c r="D21" s="126">
        <f>ROUND(F21/D6,2)</f>
        <v>21310.26</v>
      </c>
      <c r="E21" s="126"/>
      <c r="F21" s="128">
        <f>'пр.1+2 '!F28</f>
        <v>9206031</v>
      </c>
    </row>
    <row r="22" spans="1:6" s="139" customFormat="1" ht="47.25" customHeight="1" thickBot="1">
      <c r="A22" s="129" t="s">
        <v>262</v>
      </c>
      <c r="B22" s="130" t="s">
        <v>261</v>
      </c>
      <c r="C22" s="131">
        <v>9</v>
      </c>
      <c r="D22" s="126">
        <f>ROUND(F22/D6,2)</f>
        <v>6435.7</v>
      </c>
      <c r="E22" s="130"/>
      <c r="F22" s="133">
        <f>'пр.1+2 '!G28</f>
        <v>2780221</v>
      </c>
    </row>
    <row r="23" spans="1:6" s="139" customFormat="1" ht="47.25" customHeight="1" thickBot="1">
      <c r="A23" s="134" t="s">
        <v>451</v>
      </c>
      <c r="B23" s="130" t="s">
        <v>261</v>
      </c>
      <c r="C23" s="131"/>
      <c r="D23" s="126">
        <f>ROUND(F23/D6,2)</f>
        <v>37.09</v>
      </c>
      <c r="E23" s="130"/>
      <c r="F23" s="133">
        <f>'пр.1+2 '!D32</f>
        <v>16023</v>
      </c>
    </row>
    <row r="24" spans="1:6" s="139" customFormat="1" ht="47.25" customHeight="1">
      <c r="A24" s="134" t="s">
        <v>263</v>
      </c>
      <c r="B24" s="130" t="s">
        <v>261</v>
      </c>
      <c r="C24" s="130"/>
      <c r="D24" s="126">
        <f>ROUND(F24/D6,2)</f>
        <v>319.47</v>
      </c>
      <c r="E24" s="130"/>
      <c r="F24" s="140">
        <f>'пр.1+2 '!D33+'пр.1+2 '!D34</f>
        <v>138012</v>
      </c>
    </row>
    <row r="25" spans="1:7" s="139" customFormat="1" ht="21.75" customHeight="1" thickBot="1">
      <c r="A25" s="135" t="s">
        <v>264</v>
      </c>
      <c r="B25" s="136"/>
      <c r="C25" s="136"/>
      <c r="D25" s="137">
        <f>SUM(D21:D24)</f>
        <v>28102.52</v>
      </c>
      <c r="E25" s="137">
        <f>SUM(E21:E24)</f>
        <v>0</v>
      </c>
      <c r="F25" s="137">
        <f>SUM(F21:F24)</f>
        <v>12140287</v>
      </c>
      <c r="G25" s="72"/>
    </row>
    <row r="26" spans="1:6" s="72" customFormat="1" ht="21" customHeight="1">
      <c r="A26" s="683" t="s">
        <v>266</v>
      </c>
      <c r="B26" s="675"/>
      <c r="C26" s="675"/>
      <c r="D26" s="675"/>
      <c r="E26" s="675"/>
      <c r="F26" s="675"/>
    </row>
    <row r="27" spans="1:6" ht="33.75" customHeight="1" thickBot="1">
      <c r="A27" s="696" t="s">
        <v>267</v>
      </c>
      <c r="B27" s="678"/>
      <c r="C27" s="678"/>
      <c r="D27" s="678"/>
      <c r="E27" s="678"/>
      <c r="F27" s="678"/>
    </row>
    <row r="28" spans="1:6" ht="43.5" customHeight="1">
      <c r="A28" s="125" t="s">
        <v>268</v>
      </c>
      <c r="B28" s="126" t="s">
        <v>261</v>
      </c>
      <c r="C28" s="126">
        <v>5</v>
      </c>
      <c r="D28" s="126">
        <f aca="true" t="shared" si="0" ref="D28:F30">D34+D39</f>
        <v>11231.06</v>
      </c>
      <c r="E28" s="126">
        <f t="shared" si="0"/>
        <v>2</v>
      </c>
      <c r="F28" s="228">
        <f t="shared" si="0"/>
        <v>4851814</v>
      </c>
    </row>
    <row r="29" spans="1:6" ht="48" customHeight="1" hidden="1">
      <c r="A29" s="129" t="s">
        <v>268</v>
      </c>
      <c r="B29" s="130" t="s">
        <v>261</v>
      </c>
      <c r="C29" s="130">
        <v>4</v>
      </c>
      <c r="D29" s="130">
        <f t="shared" si="0"/>
        <v>0</v>
      </c>
      <c r="E29" s="130">
        <f t="shared" si="0"/>
        <v>0</v>
      </c>
      <c r="F29" s="151">
        <f t="shared" si="0"/>
        <v>0</v>
      </c>
    </row>
    <row r="30" spans="1:6" ht="66" customHeight="1">
      <c r="A30" s="129" t="s">
        <v>269</v>
      </c>
      <c r="B30" s="130" t="s">
        <v>261</v>
      </c>
      <c r="C30" s="130">
        <v>9</v>
      </c>
      <c r="D30" s="130">
        <f t="shared" si="0"/>
        <v>3391.78</v>
      </c>
      <c r="E30" s="130">
        <f t="shared" si="0"/>
        <v>2</v>
      </c>
      <c r="F30" s="229">
        <f t="shared" si="0"/>
        <v>1465248</v>
      </c>
    </row>
    <row r="31" spans="1:6" ht="26.25" customHeight="1">
      <c r="A31" s="129" t="s">
        <v>159</v>
      </c>
      <c r="B31" s="130" t="s">
        <v>261</v>
      </c>
      <c r="C31" s="130">
        <v>12</v>
      </c>
      <c r="D31" s="130">
        <f>D42</f>
        <v>1.39</v>
      </c>
      <c r="E31" s="130" t="e">
        <f>#REF!+E42</f>
        <v>#REF!</v>
      </c>
      <c r="F31" s="140">
        <f>F42</f>
        <v>600</v>
      </c>
    </row>
    <row r="32" spans="1:82" s="138" customFormat="1" ht="13.5" customHeight="1" thickBot="1">
      <c r="A32" s="142" t="s">
        <v>264</v>
      </c>
      <c r="B32" s="136"/>
      <c r="C32" s="136"/>
      <c r="D32" s="227">
        <f>SUM(D28:D31)</f>
        <v>14624.23</v>
      </c>
      <c r="E32" s="136"/>
      <c r="F32" s="137">
        <f>SUM(F28:F31)</f>
        <v>6317662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</row>
    <row r="33" spans="1:6" ht="48" customHeight="1" thickBot="1">
      <c r="A33" s="696" t="s">
        <v>270</v>
      </c>
      <c r="B33" s="678"/>
      <c r="C33" s="678"/>
      <c r="D33" s="678"/>
      <c r="E33" s="678"/>
      <c r="F33" s="678"/>
    </row>
    <row r="34" spans="1:7" ht="43.5" customHeight="1" thickBot="1">
      <c r="A34" s="125" t="s">
        <v>268</v>
      </c>
      <c r="B34" s="126" t="s">
        <v>261</v>
      </c>
      <c r="C34" s="126">
        <v>5</v>
      </c>
      <c r="D34" s="126">
        <f>ROUND(F34/D6,2)</f>
        <v>10187.5</v>
      </c>
      <c r="E34" s="126">
        <v>1</v>
      </c>
      <c r="F34" s="126">
        <f>'пр.1+2 '!F63</f>
        <v>4400998</v>
      </c>
      <c r="G34" s="316"/>
    </row>
    <row r="35" spans="1:6" ht="48" customHeight="1" hidden="1" thickBot="1">
      <c r="A35" s="141" t="s">
        <v>268</v>
      </c>
      <c r="B35" s="130" t="s">
        <v>261</v>
      </c>
      <c r="C35" s="131">
        <v>4</v>
      </c>
      <c r="D35" s="132"/>
      <c r="E35" s="130"/>
      <c r="F35" s="140"/>
    </row>
    <row r="36" spans="1:6" ht="58.5" customHeight="1">
      <c r="A36" s="141" t="s">
        <v>269</v>
      </c>
      <c r="B36" s="130" t="s">
        <v>261</v>
      </c>
      <c r="C36" s="131">
        <v>9</v>
      </c>
      <c r="D36" s="132">
        <f>ROUND(F36/D6,2)</f>
        <v>3076.63</v>
      </c>
      <c r="E36" s="130">
        <v>1</v>
      </c>
      <c r="F36" s="126">
        <f>'пр.1+2 '!G63</f>
        <v>1329102</v>
      </c>
    </row>
    <row r="37" spans="1:82" s="138" customFormat="1" ht="13.5" customHeight="1" thickBot="1">
      <c r="A37" s="142" t="s">
        <v>264</v>
      </c>
      <c r="B37" s="136"/>
      <c r="C37" s="136"/>
      <c r="D37" s="137">
        <f>SUM(D34:D36)</f>
        <v>13264.130000000001</v>
      </c>
      <c r="E37" s="136"/>
      <c r="F37" s="137">
        <f>SUM(F34:F36)</f>
        <v>5730100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</row>
    <row r="38" spans="1:6" ht="48" customHeight="1" thickBot="1">
      <c r="A38" s="696" t="s">
        <v>271</v>
      </c>
      <c r="B38" s="678"/>
      <c r="C38" s="678"/>
      <c r="D38" s="678"/>
      <c r="E38" s="678"/>
      <c r="F38" s="678"/>
    </row>
    <row r="39" spans="1:6" ht="43.5" customHeight="1">
      <c r="A39" s="125" t="s">
        <v>268</v>
      </c>
      <c r="B39" s="126" t="s">
        <v>261</v>
      </c>
      <c r="C39" s="126">
        <v>5</v>
      </c>
      <c r="D39" s="126">
        <f>ROUND(F39/D6,2)</f>
        <v>1043.56</v>
      </c>
      <c r="E39" s="126">
        <v>1</v>
      </c>
      <c r="F39" s="128">
        <f>'пр.1+2 '!F50</f>
        <v>450816</v>
      </c>
    </row>
    <row r="40" spans="1:6" ht="48" customHeight="1" hidden="1">
      <c r="A40" s="141" t="s">
        <v>268</v>
      </c>
      <c r="B40" s="130" t="s">
        <v>261</v>
      </c>
      <c r="C40" s="131">
        <v>4</v>
      </c>
      <c r="D40" s="132"/>
      <c r="E40" s="130"/>
      <c r="F40" s="140"/>
    </row>
    <row r="41" spans="1:6" ht="57.75" customHeight="1">
      <c r="A41" s="141" t="s">
        <v>269</v>
      </c>
      <c r="B41" s="130" t="s">
        <v>261</v>
      </c>
      <c r="C41" s="131">
        <v>9</v>
      </c>
      <c r="D41" s="132">
        <f>ROUND(F41/D6,2)</f>
        <v>315.15</v>
      </c>
      <c r="E41" s="130">
        <v>1</v>
      </c>
      <c r="F41" s="140">
        <f>'пр.1+2 '!G50</f>
        <v>136146</v>
      </c>
    </row>
    <row r="42" spans="1:6" ht="26.25" customHeight="1">
      <c r="A42" s="129" t="s">
        <v>159</v>
      </c>
      <c r="B42" s="130" t="s">
        <v>261</v>
      </c>
      <c r="C42" s="131">
        <v>12</v>
      </c>
      <c r="D42" s="132">
        <f>ROUND(F42/D6,2)</f>
        <v>1.39</v>
      </c>
      <c r="E42" s="130">
        <v>1</v>
      </c>
      <c r="F42" s="140">
        <f>'пр.1+2 '!D53</f>
        <v>600</v>
      </c>
    </row>
    <row r="43" spans="1:82" s="138" customFormat="1" ht="15.75" customHeight="1" thickBot="1">
      <c r="A43" s="142" t="s">
        <v>264</v>
      </c>
      <c r="B43" s="136"/>
      <c r="C43" s="136"/>
      <c r="D43" s="137">
        <f>SUM(D39:D42)</f>
        <v>1360.1000000000001</v>
      </c>
      <c r="E43" s="136"/>
      <c r="F43" s="137">
        <f>SUM(F39:F42)</f>
        <v>587562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</row>
    <row r="44" spans="1:6" ht="21.75" customHeight="1" thickBot="1">
      <c r="A44" s="697" t="s">
        <v>272</v>
      </c>
      <c r="B44" s="698"/>
      <c r="C44" s="698"/>
      <c r="D44" s="698"/>
      <c r="E44" s="698"/>
      <c r="F44" s="699"/>
    </row>
    <row r="45" spans="1:7" ht="12.75">
      <c r="A45" s="76" t="s">
        <v>162</v>
      </c>
      <c r="B45" s="126" t="s">
        <v>261</v>
      </c>
      <c r="C45" s="126">
        <v>12</v>
      </c>
      <c r="D45" s="126">
        <f>ROUND(F45/D6,2)</f>
        <v>77</v>
      </c>
      <c r="E45" s="126"/>
      <c r="F45" s="128">
        <f>'пр.3'!F6+'пр.3'!F8+'пр.3'!F7</f>
        <v>33264</v>
      </c>
      <c r="G45" s="316"/>
    </row>
    <row r="46" spans="1:7" ht="12.75">
      <c r="A46" s="65" t="s">
        <v>163</v>
      </c>
      <c r="B46" s="130" t="s">
        <v>261</v>
      </c>
      <c r="C46" s="130">
        <v>12</v>
      </c>
      <c r="D46" s="132">
        <f>ROUND(F46/D6,2)</f>
        <v>7.14</v>
      </c>
      <c r="E46" s="130"/>
      <c r="F46" s="140">
        <f>'пр.3'!F9+'пр.3'!F10</f>
        <v>3084.6</v>
      </c>
      <c r="G46" s="316"/>
    </row>
    <row r="47" spans="1:6" ht="12.75">
      <c r="A47" s="65" t="s">
        <v>164</v>
      </c>
      <c r="B47" s="130" t="s">
        <v>261</v>
      </c>
      <c r="C47" s="130">
        <v>12</v>
      </c>
      <c r="D47" s="132">
        <f>ROUND(F47/D6,2)</f>
        <v>29.17</v>
      </c>
      <c r="E47" s="130"/>
      <c r="F47" s="140">
        <f>'пр.3'!F11+'пр.3'!F12</f>
        <v>12600</v>
      </c>
    </row>
    <row r="48" spans="1:7" ht="25.5">
      <c r="A48" s="65" t="s">
        <v>165</v>
      </c>
      <c r="B48" s="130" t="s">
        <v>261</v>
      </c>
      <c r="C48" s="130">
        <v>12</v>
      </c>
      <c r="D48" s="132">
        <f>ROUND(F48/D6,2)</f>
        <v>53.44</v>
      </c>
      <c r="E48" s="130"/>
      <c r="F48" s="140">
        <f>'пр.3'!F13+'пр.3'!F14</f>
        <v>23088</v>
      </c>
      <c r="G48" s="143"/>
    </row>
    <row r="49" spans="1:6" ht="12.75">
      <c r="A49" s="65" t="s">
        <v>166</v>
      </c>
      <c r="B49" s="130" t="s">
        <v>261</v>
      </c>
      <c r="C49" s="130">
        <v>12</v>
      </c>
      <c r="D49" s="132">
        <f>ROUND(F49/D6,2)</f>
        <v>27.78</v>
      </c>
      <c r="E49" s="130"/>
      <c r="F49" s="140">
        <f>'пр.3'!F19+'пр.3'!F20</f>
        <v>12001.2</v>
      </c>
    </row>
    <row r="50" spans="1:6" ht="25.5">
      <c r="A50" s="65" t="s">
        <v>167</v>
      </c>
      <c r="B50" s="130" t="s">
        <v>261</v>
      </c>
      <c r="C50" s="130">
        <v>12</v>
      </c>
      <c r="D50" s="132">
        <f>ROUND(F50/D6,2)</f>
        <v>0</v>
      </c>
      <c r="E50" s="130"/>
      <c r="F50" s="140">
        <f>'пр.3'!F21</f>
        <v>0</v>
      </c>
    </row>
    <row r="51" spans="1:6" ht="24.75" customHeight="1">
      <c r="A51" s="65" t="str">
        <f>'пр.3'!A16</f>
        <v>Техническое обслуживание системы погодного регулирования тепловой энергии </v>
      </c>
      <c r="B51" s="130" t="s">
        <v>261</v>
      </c>
      <c r="C51" s="130">
        <v>12</v>
      </c>
      <c r="D51" s="132">
        <f>ROUND(F51/D6,2)</f>
        <v>94.42</v>
      </c>
      <c r="E51" s="130"/>
      <c r="F51" s="140">
        <f>'пр.3'!F16+'пр.3'!F17+'пр.3'!F18</f>
        <v>40790.28</v>
      </c>
    </row>
    <row r="52" spans="1:6" ht="25.5">
      <c r="A52" s="65" t="s">
        <v>209</v>
      </c>
      <c r="B52" s="130" t="s">
        <v>261</v>
      </c>
      <c r="C52" s="130"/>
      <c r="D52" s="132">
        <f>ROUND(F52/D6,2)</f>
        <v>19.44</v>
      </c>
      <c r="E52" s="130"/>
      <c r="F52" s="140">
        <f>'пр.3'!F22+'пр.3'!F23</f>
        <v>8400</v>
      </c>
    </row>
    <row r="53" spans="1:6" ht="15" customHeight="1">
      <c r="A53" s="65" t="str">
        <f>'пр.3'!A24</f>
        <v>Огнезащитная обработка деревянных конструкций</v>
      </c>
      <c r="B53" s="130" t="s">
        <v>261</v>
      </c>
      <c r="C53" s="130"/>
      <c r="D53" s="132">
        <f>ROUND(F53/D6,2)</f>
        <v>0</v>
      </c>
      <c r="E53" s="130"/>
      <c r="F53" s="140">
        <f>'пр.3'!F24</f>
        <v>0</v>
      </c>
    </row>
    <row r="54" spans="1:6" ht="26.25" customHeight="1">
      <c r="A54" s="65" t="str">
        <f>'пр.3'!A25</f>
        <v>Проверка работоспособности пожарных кранов</v>
      </c>
      <c r="B54" s="130" t="s">
        <v>261</v>
      </c>
      <c r="C54" s="130"/>
      <c r="D54" s="132">
        <f>ROUND(F54/D6,2)</f>
        <v>0</v>
      </c>
      <c r="E54" s="130"/>
      <c r="F54" s="140">
        <f>'пр.3'!F25</f>
        <v>0</v>
      </c>
    </row>
    <row r="55" spans="1:6" ht="12.75" customHeight="1">
      <c r="A55" s="65" t="str">
        <f>'пр.3'!A26</f>
        <v>Ремонт принтера</v>
      </c>
      <c r="B55" s="130" t="s">
        <v>261</v>
      </c>
      <c r="C55" s="130"/>
      <c r="D55" s="132">
        <f>ROUND(F55/D6,2)</f>
        <v>0</v>
      </c>
      <c r="E55" s="130"/>
      <c r="F55" s="140">
        <f>'пр.3'!F26</f>
        <v>0</v>
      </c>
    </row>
    <row r="56" spans="1:6" ht="12.75">
      <c r="A56" s="65" t="s">
        <v>210</v>
      </c>
      <c r="B56" s="130" t="s">
        <v>261</v>
      </c>
      <c r="C56" s="130"/>
      <c r="D56" s="132">
        <f>ROUND(F56/D6,2)</f>
        <v>44.59</v>
      </c>
      <c r="E56" s="130"/>
      <c r="F56" s="140">
        <f>'пр.3'!F28+'пр.3'!F29</f>
        <v>19263.12</v>
      </c>
    </row>
    <row r="57" spans="1:6" ht="12" customHeight="1">
      <c r="A57" s="65" t="s">
        <v>438</v>
      </c>
      <c r="B57" s="130" t="s">
        <v>261</v>
      </c>
      <c r="C57" s="130"/>
      <c r="D57" s="132">
        <f>ROUND(F57/D6,2)</f>
        <v>0</v>
      </c>
      <c r="E57" s="130"/>
      <c r="F57" s="140">
        <f>'пр.3'!F27</f>
        <v>0</v>
      </c>
    </row>
    <row r="58" spans="1:82" s="138" customFormat="1" ht="13.5" thickBot="1">
      <c r="A58" s="146" t="s">
        <v>264</v>
      </c>
      <c r="B58" s="147"/>
      <c r="C58" s="147"/>
      <c r="D58" s="137">
        <f>SUM(D45:D57)</f>
        <v>352.98</v>
      </c>
      <c r="E58" s="136"/>
      <c r="F58" s="137">
        <f>SUM(F45:F57)</f>
        <v>152491.2</v>
      </c>
      <c r="G58" s="316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</row>
    <row r="59" spans="1:6" ht="18" customHeight="1" thickBot="1">
      <c r="A59" s="685" t="s">
        <v>273</v>
      </c>
      <c r="B59" s="685"/>
      <c r="C59" s="685"/>
      <c r="D59" s="685"/>
      <c r="E59" s="685"/>
      <c r="F59" s="685"/>
    </row>
    <row r="60" spans="1:6" ht="13.5" thickBot="1">
      <c r="A60" s="148" t="s">
        <v>160</v>
      </c>
      <c r="B60" s="126" t="s">
        <v>261</v>
      </c>
      <c r="C60" s="126">
        <v>12</v>
      </c>
      <c r="D60" s="126">
        <f>ROUND(F60/D6,2)</f>
        <v>17.06</v>
      </c>
      <c r="E60" s="126"/>
      <c r="F60" s="149">
        <f>'пр.3'!F41</f>
        <v>7372</v>
      </c>
    </row>
    <row r="61" spans="1:6" ht="38.25" hidden="1">
      <c r="A61" s="144" t="s">
        <v>274</v>
      </c>
      <c r="B61" s="145"/>
      <c r="C61" s="145"/>
      <c r="D61" s="145"/>
      <c r="E61" s="145"/>
      <c r="F61" s="150"/>
    </row>
    <row r="62" spans="1:6" ht="38.25" hidden="1">
      <c r="A62" s="144" t="s">
        <v>275</v>
      </c>
      <c r="B62" s="145"/>
      <c r="C62" s="145"/>
      <c r="D62" s="145"/>
      <c r="E62" s="145"/>
      <c r="F62" s="150"/>
    </row>
    <row r="63" spans="1:6" ht="38.25" hidden="1">
      <c r="A63" s="144" t="s">
        <v>276</v>
      </c>
      <c r="B63" s="145"/>
      <c r="C63" s="145"/>
      <c r="D63" s="145"/>
      <c r="E63" s="145"/>
      <c r="F63" s="150"/>
    </row>
    <row r="64" spans="1:6" ht="25.5" hidden="1">
      <c r="A64" s="144" t="s">
        <v>277</v>
      </c>
      <c r="B64" s="145"/>
      <c r="C64" s="145"/>
      <c r="D64" s="145"/>
      <c r="E64" s="145"/>
      <c r="F64" s="150"/>
    </row>
    <row r="65" spans="1:6" ht="38.25" hidden="1">
      <c r="A65" s="144" t="s">
        <v>278</v>
      </c>
      <c r="B65" s="145"/>
      <c r="C65" s="145"/>
      <c r="D65" s="145"/>
      <c r="E65" s="145"/>
      <c r="F65" s="150"/>
    </row>
    <row r="66" spans="1:6" ht="31.5" customHeight="1" hidden="1">
      <c r="A66" s="686" t="s">
        <v>279</v>
      </c>
      <c r="B66" s="687"/>
      <c r="C66" s="687"/>
      <c r="D66" s="687"/>
      <c r="E66" s="687"/>
      <c r="F66" s="688"/>
    </row>
    <row r="67" spans="1:6" ht="12.75" hidden="1">
      <c r="A67" s="144" t="s">
        <v>280</v>
      </c>
      <c r="B67" s="145"/>
      <c r="C67" s="145"/>
      <c r="D67" s="145"/>
      <c r="E67" s="145"/>
      <c r="F67" s="150"/>
    </row>
    <row r="68" spans="1:6" ht="38.25" hidden="1">
      <c r="A68" s="144" t="s">
        <v>281</v>
      </c>
      <c r="B68" s="145"/>
      <c r="C68" s="145"/>
      <c r="D68" s="145"/>
      <c r="E68" s="145"/>
      <c r="F68" s="150"/>
    </row>
    <row r="69" spans="1:6" ht="12.75" hidden="1">
      <c r="A69" s="144" t="s">
        <v>282</v>
      </c>
      <c r="B69" s="145"/>
      <c r="C69" s="145"/>
      <c r="D69" s="145"/>
      <c r="E69" s="145"/>
      <c r="F69" s="150"/>
    </row>
    <row r="70" spans="1:6" ht="25.5" hidden="1">
      <c r="A70" s="144" t="s">
        <v>283</v>
      </c>
      <c r="B70" s="145"/>
      <c r="C70" s="145"/>
      <c r="D70" s="145"/>
      <c r="E70" s="145"/>
      <c r="F70" s="150"/>
    </row>
    <row r="71" spans="1:6" ht="51" hidden="1">
      <c r="A71" s="144" t="s">
        <v>284</v>
      </c>
      <c r="B71" s="145"/>
      <c r="C71" s="145"/>
      <c r="D71" s="145"/>
      <c r="E71" s="145"/>
      <c r="F71" s="150"/>
    </row>
    <row r="72" spans="1:6" ht="25.5" hidden="1">
      <c r="A72" s="144" t="s">
        <v>285</v>
      </c>
      <c r="B72" s="145"/>
      <c r="C72" s="145"/>
      <c r="D72" s="145"/>
      <c r="E72" s="145"/>
      <c r="F72" s="150"/>
    </row>
    <row r="73" spans="1:6" ht="31.5" customHeight="1" hidden="1">
      <c r="A73" s="686" t="s">
        <v>286</v>
      </c>
      <c r="B73" s="687"/>
      <c r="C73" s="687"/>
      <c r="D73" s="687"/>
      <c r="E73" s="687"/>
      <c r="F73" s="688"/>
    </row>
    <row r="74" spans="1:6" ht="25.5" hidden="1">
      <c r="A74" s="144" t="s">
        <v>287</v>
      </c>
      <c r="B74" s="145"/>
      <c r="C74" s="145"/>
      <c r="D74" s="145"/>
      <c r="E74" s="145"/>
      <c r="F74" s="150"/>
    </row>
    <row r="75" spans="1:6" ht="25.5" hidden="1">
      <c r="A75" s="144" t="s">
        <v>288</v>
      </c>
      <c r="B75" s="145"/>
      <c r="C75" s="145"/>
      <c r="D75" s="145"/>
      <c r="E75" s="145"/>
      <c r="F75" s="150"/>
    </row>
    <row r="76" spans="1:6" ht="25.5" hidden="1">
      <c r="A76" s="144" t="s">
        <v>289</v>
      </c>
      <c r="B76" s="145"/>
      <c r="C76" s="145"/>
      <c r="D76" s="145"/>
      <c r="E76" s="145"/>
      <c r="F76" s="150"/>
    </row>
    <row r="77" spans="1:6" ht="12.75" hidden="1">
      <c r="A77" s="144" t="s">
        <v>290</v>
      </c>
      <c r="B77" s="145"/>
      <c r="C77" s="145"/>
      <c r="D77" s="145"/>
      <c r="E77" s="145"/>
      <c r="F77" s="150"/>
    </row>
    <row r="78" spans="1:6" ht="25.5" hidden="1">
      <c r="A78" s="144" t="s">
        <v>291</v>
      </c>
      <c r="B78" s="145"/>
      <c r="C78" s="145"/>
      <c r="D78" s="145"/>
      <c r="E78" s="145"/>
      <c r="F78" s="150"/>
    </row>
    <row r="79" spans="1:6" ht="25.5" hidden="1">
      <c r="A79" s="144" t="s">
        <v>292</v>
      </c>
      <c r="B79" s="145"/>
      <c r="C79" s="145"/>
      <c r="D79" s="145"/>
      <c r="E79" s="145"/>
      <c r="F79" s="150"/>
    </row>
    <row r="80" spans="1:6" ht="25.5" hidden="1">
      <c r="A80" s="144" t="s">
        <v>293</v>
      </c>
      <c r="B80" s="145"/>
      <c r="C80" s="145"/>
      <c r="D80" s="145"/>
      <c r="E80" s="145"/>
      <c r="F80" s="150"/>
    </row>
    <row r="81" spans="1:6" ht="25.5" hidden="1">
      <c r="A81" s="144" t="s">
        <v>294</v>
      </c>
      <c r="B81" s="145"/>
      <c r="C81" s="145"/>
      <c r="D81" s="145"/>
      <c r="E81" s="145"/>
      <c r="F81" s="150"/>
    </row>
    <row r="82" spans="1:6" ht="25.5" hidden="1">
      <c r="A82" s="144" t="s">
        <v>295</v>
      </c>
      <c r="B82" s="145"/>
      <c r="C82" s="145"/>
      <c r="D82" s="145"/>
      <c r="E82" s="145"/>
      <c r="F82" s="150"/>
    </row>
    <row r="83" spans="1:6" ht="25.5" hidden="1">
      <c r="A83" s="144" t="s">
        <v>296</v>
      </c>
      <c r="B83" s="145"/>
      <c r="C83" s="145"/>
      <c r="D83" s="145"/>
      <c r="E83" s="145"/>
      <c r="F83" s="150"/>
    </row>
    <row r="84" spans="1:6" ht="26.25" hidden="1" thickBot="1">
      <c r="A84" s="144" t="s">
        <v>297</v>
      </c>
      <c r="B84" s="145"/>
      <c r="C84" s="145"/>
      <c r="D84" s="145"/>
      <c r="E84" s="145"/>
      <c r="F84" s="150"/>
    </row>
    <row r="85" spans="1:6" ht="12.75">
      <c r="A85" s="144" t="s">
        <v>298</v>
      </c>
      <c r="B85" s="126" t="s">
        <v>261</v>
      </c>
      <c r="C85" s="126">
        <v>12</v>
      </c>
      <c r="D85" s="126">
        <f>ROUND(F85/D6,2)</f>
        <v>0</v>
      </c>
      <c r="E85" s="126"/>
      <c r="F85" s="149">
        <f>'пр.3'!F42</f>
        <v>0</v>
      </c>
    </row>
    <row r="86" spans="1:82" s="138" customFormat="1" ht="13.5" thickBot="1">
      <c r="A86" s="146" t="s">
        <v>264</v>
      </c>
      <c r="B86" s="147"/>
      <c r="C86" s="147"/>
      <c r="D86" s="152">
        <f>SUM(D60+D85)</f>
        <v>17.06</v>
      </c>
      <c r="E86" s="147"/>
      <c r="F86" s="152">
        <f>SUM(F60+F85)</f>
        <v>7372</v>
      </c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</row>
    <row r="87" spans="1:6" ht="16.5" thickBot="1">
      <c r="A87" s="685" t="s">
        <v>299</v>
      </c>
      <c r="B87" s="685"/>
      <c r="C87" s="685"/>
      <c r="D87" s="685"/>
      <c r="E87" s="685"/>
      <c r="F87" s="685"/>
    </row>
    <row r="88" spans="1:6" ht="12.75" customHeight="1" thickBot="1">
      <c r="A88" s="76" t="s">
        <v>300</v>
      </c>
      <c r="B88" s="126" t="s">
        <v>261</v>
      </c>
      <c r="C88" s="153"/>
      <c r="D88" s="126">
        <f>ROUND(F88/D6,2)</f>
        <v>112.71</v>
      </c>
      <c r="E88" s="153"/>
      <c r="F88" s="149">
        <f>'пр.3'!F48+'пр.3'!F49+'пр.3'!F51+'пр.3'!F50</f>
        <v>48689.8</v>
      </c>
    </row>
    <row r="89" spans="1:6" ht="12.75" customHeight="1" thickBot="1">
      <c r="A89" s="144" t="s">
        <v>168</v>
      </c>
      <c r="B89" s="126" t="s">
        <v>261</v>
      </c>
      <c r="C89" s="145"/>
      <c r="D89" s="126">
        <f>ROUND(F89/D6,2)</f>
        <v>0</v>
      </c>
      <c r="E89" s="145"/>
      <c r="F89" s="151"/>
    </row>
    <row r="90" spans="1:6" ht="0.75" customHeight="1" thickBot="1">
      <c r="A90" s="154" t="s">
        <v>217</v>
      </c>
      <c r="B90" s="126" t="s">
        <v>261</v>
      </c>
      <c r="C90" s="145"/>
      <c r="D90" s="126" t="e">
        <f>ROUND(F90/D8,2)</f>
        <v>#VALUE!</v>
      </c>
      <c r="E90" s="145"/>
      <c r="F90" s="151">
        <f>'пр.3'!F56</f>
        <v>0</v>
      </c>
    </row>
    <row r="91" spans="1:7" ht="13.5" customHeight="1" thickBot="1">
      <c r="A91" s="65" t="str">
        <f>'пр.3'!A53</f>
        <v>Прочие (атестаты, сертификат ЭЦП)</v>
      </c>
      <c r="B91" s="126" t="s">
        <v>261</v>
      </c>
      <c r="C91" s="145"/>
      <c r="D91" s="126">
        <f>ROUND(F91/D6,2)</f>
        <v>21.84</v>
      </c>
      <c r="E91" s="145"/>
      <c r="F91" s="151">
        <f>'пр.3'!F53</f>
        <v>9435</v>
      </c>
      <c r="G91" s="316"/>
    </row>
    <row r="92" spans="1:6" ht="13.5" thickBot="1">
      <c r="A92" s="103" t="str">
        <f>'пр.3'!A54</f>
        <v>Электронная отчетность</v>
      </c>
      <c r="B92" s="126" t="s">
        <v>261</v>
      </c>
      <c r="C92" s="145"/>
      <c r="D92" s="126">
        <f>ROUND(F92/D6,2)</f>
        <v>8.56</v>
      </c>
      <c r="E92" s="145"/>
      <c r="F92" s="151">
        <f>'пр.3'!F54</f>
        <v>3700</v>
      </c>
    </row>
    <row r="93" spans="1:6" ht="12.75">
      <c r="A93" s="103" t="str">
        <f>'пр.3'!A55</f>
        <v>Утилизация отходов </v>
      </c>
      <c r="B93" s="126" t="s">
        <v>261</v>
      </c>
      <c r="C93" s="145"/>
      <c r="D93" s="126">
        <f>ROUND(F93/D6,2)</f>
        <v>2.31</v>
      </c>
      <c r="E93" s="145"/>
      <c r="F93" s="151">
        <f>'пр.3'!F55</f>
        <v>1000</v>
      </c>
    </row>
    <row r="94" spans="1:7" ht="12.75">
      <c r="A94" s="154" t="s">
        <v>301</v>
      </c>
      <c r="B94" s="130" t="s">
        <v>261</v>
      </c>
      <c r="C94" s="145"/>
      <c r="D94" s="132">
        <f>ROUND(F94/D6,2)</f>
        <v>69.44</v>
      </c>
      <c r="E94" s="145"/>
      <c r="F94" s="151">
        <f>'пр.3'!F67</f>
        <v>30000</v>
      </c>
      <c r="G94" s="316"/>
    </row>
    <row r="95" spans="1:6" ht="12.75">
      <c r="A95" s="154" t="s">
        <v>302</v>
      </c>
      <c r="B95" s="130" t="s">
        <v>261</v>
      </c>
      <c r="C95" s="155"/>
      <c r="D95" s="132">
        <f>ROUND(F95/D6,2)</f>
        <v>0</v>
      </c>
      <c r="E95" s="155"/>
      <c r="F95" s="156"/>
    </row>
    <row r="96" spans="1:82" s="160" customFormat="1" ht="13.5" thickBot="1">
      <c r="A96" s="157" t="s">
        <v>303</v>
      </c>
      <c r="B96" s="158"/>
      <c r="C96" s="158"/>
      <c r="D96" s="159">
        <f>D88+D91+D94+D92+D93</f>
        <v>214.85999999999999</v>
      </c>
      <c r="E96" s="158"/>
      <c r="F96" s="159">
        <f>F88+F89+F95+F90+F94+F91+F92+F93</f>
        <v>92824.8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</row>
    <row r="97" spans="1:82" s="139" customFormat="1" ht="18.75">
      <c r="A97" s="689" t="s">
        <v>304</v>
      </c>
      <c r="B97" s="690"/>
      <c r="C97" s="690"/>
      <c r="D97" s="690"/>
      <c r="E97" s="690"/>
      <c r="F97" s="690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</row>
    <row r="98" spans="1:82" s="139" customFormat="1" ht="36.75" customHeight="1" thickBot="1">
      <c r="A98" s="691" t="s">
        <v>305</v>
      </c>
      <c r="B98" s="691"/>
      <c r="C98" s="691"/>
      <c r="D98" s="691"/>
      <c r="E98" s="691"/>
      <c r="F98" s="69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</row>
    <row r="99" spans="1:82" s="139" customFormat="1" ht="12.75">
      <c r="A99" s="161" t="s">
        <v>221</v>
      </c>
      <c r="B99" s="126" t="s">
        <v>261</v>
      </c>
      <c r="C99" s="162">
        <v>12</v>
      </c>
      <c r="D99" s="126">
        <f>ROUND(F99/D6,2)</f>
        <v>0</v>
      </c>
      <c r="E99" s="163"/>
      <c r="F99" s="128">
        <f>'пр.4'!F6</f>
        <v>0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</row>
    <row r="100" spans="1:82" s="139" customFormat="1" ht="12.75">
      <c r="A100" s="104" t="s">
        <v>222</v>
      </c>
      <c r="B100" s="130" t="s">
        <v>261</v>
      </c>
      <c r="C100" s="164">
        <v>12</v>
      </c>
      <c r="D100" s="132">
        <f>ROUND(F100/D6,2)</f>
        <v>0</v>
      </c>
      <c r="E100" s="165"/>
      <c r="F100" s="140">
        <f>'пр.4'!F7</f>
        <v>0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</row>
    <row r="101" spans="1:82" s="138" customFormat="1" ht="13.5" thickBot="1">
      <c r="A101" s="146" t="s">
        <v>303</v>
      </c>
      <c r="B101" s="147"/>
      <c r="C101" s="147"/>
      <c r="D101" s="137">
        <f>D99+D100</f>
        <v>0</v>
      </c>
      <c r="E101" s="147"/>
      <c r="F101" s="137">
        <f>F99+F100</f>
        <v>0</v>
      </c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</row>
    <row r="102" spans="1:82" s="139" customFormat="1" ht="16.5" thickBot="1">
      <c r="A102" s="665" t="s">
        <v>306</v>
      </c>
      <c r="B102" s="665"/>
      <c r="C102" s="665"/>
      <c r="D102" s="665"/>
      <c r="E102" s="665"/>
      <c r="F102" s="693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</row>
    <row r="103" spans="1:82" s="139" customFormat="1" ht="12.75">
      <c r="A103" s="161" t="s">
        <v>225</v>
      </c>
      <c r="B103" s="126" t="s">
        <v>261</v>
      </c>
      <c r="C103" s="162">
        <v>12</v>
      </c>
      <c r="D103" s="126">
        <f>ROUND(F103/D6,2)</f>
        <v>0</v>
      </c>
      <c r="E103" s="163"/>
      <c r="F103" s="166">
        <f>'пр.4'!F26</f>
        <v>0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</row>
    <row r="104" spans="1:82" s="139" customFormat="1" ht="12.75">
      <c r="A104" s="104" t="s">
        <v>226</v>
      </c>
      <c r="B104" s="130" t="s">
        <v>261</v>
      </c>
      <c r="C104" s="164">
        <v>12</v>
      </c>
      <c r="D104" s="132">
        <f>ROUND(F104/D6,2)</f>
        <v>0</v>
      </c>
      <c r="E104" s="165"/>
      <c r="F104" s="167">
        <f>'пр.4'!F27</f>
        <v>0</v>
      </c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</row>
    <row r="105" spans="1:82" s="139" customFormat="1" ht="12.75">
      <c r="A105" s="104" t="s">
        <v>227</v>
      </c>
      <c r="B105" s="130" t="s">
        <v>261</v>
      </c>
      <c r="C105" s="165"/>
      <c r="D105" s="164"/>
      <c r="E105" s="165"/>
      <c r="F105" s="167">
        <f>ROUND('пр.4'!F28/12,2)</f>
        <v>0</v>
      </c>
      <c r="G105" s="143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</row>
    <row r="106" spans="1:82" s="139" customFormat="1" ht="12.75">
      <c r="A106" s="104"/>
      <c r="B106" s="130" t="s">
        <v>261</v>
      </c>
      <c r="C106" s="165"/>
      <c r="D106" s="164"/>
      <c r="E106" s="165"/>
      <c r="F106" s="167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</row>
    <row r="107" spans="1:82" s="138" customFormat="1" ht="13.5" thickBot="1">
      <c r="A107" s="146" t="s">
        <v>303</v>
      </c>
      <c r="B107" s="147"/>
      <c r="C107" s="147"/>
      <c r="D107" s="137">
        <f>D103+D104+D105+D106</f>
        <v>0</v>
      </c>
      <c r="E107" s="147"/>
      <c r="F107" s="137">
        <f>F103+F104+F105+F106</f>
        <v>0</v>
      </c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</row>
    <row r="108" spans="1:82" s="139" customFormat="1" ht="33" customHeight="1" thickBot="1">
      <c r="A108" s="637" t="s">
        <v>307</v>
      </c>
      <c r="B108" s="637"/>
      <c r="C108" s="637"/>
      <c r="D108" s="637"/>
      <c r="E108" s="637"/>
      <c r="F108" s="694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</row>
    <row r="109" spans="1:82" s="139" customFormat="1" ht="12.75">
      <c r="A109" s="161" t="s">
        <v>232</v>
      </c>
      <c r="B109" s="126" t="s">
        <v>261</v>
      </c>
      <c r="C109" s="163"/>
      <c r="D109" s="126">
        <f>ROUND(F109/D6,2)</f>
        <v>0</v>
      </c>
      <c r="E109" s="163"/>
      <c r="F109" s="166">
        <f>'пр.4'!F36</f>
        <v>0</v>
      </c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</row>
    <row r="110" spans="1:82" s="138" customFormat="1" ht="13.5" thickBot="1">
      <c r="A110" s="146" t="s">
        <v>303</v>
      </c>
      <c r="B110" s="147"/>
      <c r="C110" s="147"/>
      <c r="D110" s="137">
        <f>D109</f>
        <v>0</v>
      </c>
      <c r="E110" s="147"/>
      <c r="F110" s="137">
        <f>F109</f>
        <v>0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</row>
    <row r="111" spans="1:82" s="139" customFormat="1" ht="16.5" thickBot="1">
      <c r="A111" s="665" t="s">
        <v>308</v>
      </c>
      <c r="B111" s="665"/>
      <c r="C111" s="665"/>
      <c r="D111" s="665"/>
      <c r="E111" s="665"/>
      <c r="F111" s="693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</row>
    <row r="112" spans="1:82" s="139" customFormat="1" ht="12.75">
      <c r="A112" s="161"/>
      <c r="B112" s="126" t="s">
        <v>261</v>
      </c>
      <c r="C112" s="163"/>
      <c r="D112" s="126">
        <f>ROUND(F112/D6,2)</f>
        <v>0</v>
      </c>
      <c r="E112" s="163"/>
      <c r="F112" s="166">
        <f>'пр.4'!F43</f>
        <v>0</v>
      </c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</row>
    <row r="113" spans="1:82" s="139" customFormat="1" ht="13.5" thickBot="1">
      <c r="A113" s="168"/>
      <c r="B113" s="169" t="s">
        <v>261</v>
      </c>
      <c r="C113" s="170"/>
      <c r="D113" s="171">
        <f>ROUND(F113/D6,2)</f>
        <v>0</v>
      </c>
      <c r="E113" s="170"/>
      <c r="F113" s="172">
        <f>'пр.4'!F44</f>
        <v>0</v>
      </c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</row>
    <row r="114" spans="1:82" s="138" customFormat="1" ht="12.75">
      <c r="A114" s="173" t="s">
        <v>303</v>
      </c>
      <c r="B114" s="173"/>
      <c r="C114" s="173"/>
      <c r="D114" s="174">
        <f>D112+D113</f>
        <v>0</v>
      </c>
      <c r="E114" s="173"/>
      <c r="F114" s="174">
        <f>F112+F113</f>
        <v>0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</row>
    <row r="115" spans="1:82" s="139" customFormat="1" ht="16.5" thickBot="1">
      <c r="A115" s="695" t="s">
        <v>309</v>
      </c>
      <c r="B115" s="695"/>
      <c r="C115" s="695"/>
      <c r="D115" s="695"/>
      <c r="E115" s="695"/>
      <c r="F115" s="695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</row>
    <row r="116" spans="1:82" s="139" customFormat="1" ht="12.75">
      <c r="A116" s="76" t="s">
        <v>238</v>
      </c>
      <c r="B116" s="126" t="s">
        <v>261</v>
      </c>
      <c r="C116" s="126">
        <v>12</v>
      </c>
      <c r="D116" s="175">
        <f>ROUND(F116/D6,2)</f>
        <v>68.76</v>
      </c>
      <c r="E116" s="126"/>
      <c r="F116" s="128">
        <f>'пр.5'!F6+'пр.5'!F7</f>
        <v>29702.730000000003</v>
      </c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</row>
    <row r="117" spans="1:82" s="139" customFormat="1" ht="12.75">
      <c r="A117" s="65" t="s">
        <v>240</v>
      </c>
      <c r="B117" s="130" t="s">
        <v>261</v>
      </c>
      <c r="C117" s="130">
        <v>12</v>
      </c>
      <c r="D117" s="176">
        <f>ROUND(F117/D6,2)</f>
        <v>45.63</v>
      </c>
      <c r="E117" s="130"/>
      <c r="F117" s="140">
        <f>'пр.5'!F8+'пр.5'!F9</f>
        <v>19712.41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</row>
    <row r="118" spans="1:82" s="139" customFormat="1" ht="12.75">
      <c r="A118" s="87" t="s">
        <v>176</v>
      </c>
      <c r="B118" s="130" t="s">
        <v>261</v>
      </c>
      <c r="C118" s="130">
        <v>12</v>
      </c>
      <c r="D118" s="176">
        <f>ROUND(F118/D6,2)</f>
        <v>0</v>
      </c>
      <c r="E118" s="130"/>
      <c r="F118" s="140">
        <f>'пр.5'!F10+'пр.5'!F11</f>
        <v>0</v>
      </c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</row>
    <row r="119" spans="1:82" s="139" customFormat="1" ht="12.75">
      <c r="A119" s="87" t="s">
        <v>241</v>
      </c>
      <c r="B119" s="130" t="s">
        <v>261</v>
      </c>
      <c r="C119" s="130">
        <v>12</v>
      </c>
      <c r="D119" s="176">
        <f>ROUND(F119/D6,2)</f>
        <v>2118.95</v>
      </c>
      <c r="E119" s="130"/>
      <c r="F119" s="140">
        <f>'пр.5'!F12+'пр.5'!F13+'пр.5'!F14</f>
        <v>915387.11</v>
      </c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</row>
    <row r="120" spans="1:82" s="139" customFormat="1" ht="12.75">
      <c r="A120" s="87" t="s">
        <v>243</v>
      </c>
      <c r="B120" s="130" t="s">
        <v>261</v>
      </c>
      <c r="C120" s="130">
        <v>12</v>
      </c>
      <c r="D120" s="176">
        <f>ROUND(F120/D6,2)</f>
        <v>1198.07</v>
      </c>
      <c r="E120" s="130"/>
      <c r="F120" s="140">
        <f>'пр.5'!F16+'пр.5'!F15</f>
        <v>517565.75</v>
      </c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</row>
    <row r="121" spans="1:82" s="139" customFormat="1" ht="25.5">
      <c r="A121" s="65" t="s">
        <v>245</v>
      </c>
      <c r="B121" s="130" t="s">
        <v>261</v>
      </c>
      <c r="C121" s="130">
        <v>12</v>
      </c>
      <c r="D121" s="176">
        <f>ROUND(F121/D6,2)</f>
        <v>0</v>
      </c>
      <c r="E121" s="130"/>
      <c r="F121" s="140">
        <f>'пр.5'!F17</f>
        <v>0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</row>
    <row r="122" spans="1:82" s="139" customFormat="1" ht="13.5" thickBot="1">
      <c r="A122" s="177" t="s">
        <v>303</v>
      </c>
      <c r="B122" s="178"/>
      <c r="C122" s="178"/>
      <c r="D122" s="179">
        <f>SUM(D116:D121)</f>
        <v>3431.41</v>
      </c>
      <c r="E122" s="180"/>
      <c r="F122" s="179">
        <f>SUM(F116:F121)</f>
        <v>1482368</v>
      </c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</row>
    <row r="123" spans="1:82" s="185" customFormat="1" ht="26.25" thickBot="1">
      <c r="A123" s="181" t="s">
        <v>310</v>
      </c>
      <c r="B123" s="182"/>
      <c r="C123" s="182"/>
      <c r="D123" s="183">
        <f>D122+D114+D110+D107+D101+D96+D86+D58+D32</f>
        <v>18640.54</v>
      </c>
      <c r="E123" s="182"/>
      <c r="F123" s="184">
        <f>F122+F114+F110+F107+F101+F96+F86+F58+F32</f>
        <v>8052718</v>
      </c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</row>
    <row r="124" spans="1:6" ht="19.5" thickBot="1">
      <c r="A124" s="684" t="s">
        <v>311</v>
      </c>
      <c r="B124" s="684"/>
      <c r="C124" s="684"/>
      <c r="D124" s="684"/>
      <c r="E124" s="684"/>
      <c r="F124" s="684"/>
    </row>
    <row r="125" spans="1:6" ht="12.75">
      <c r="A125" s="148" t="s">
        <v>312</v>
      </c>
      <c r="B125" s="126" t="s">
        <v>261</v>
      </c>
      <c r="C125" s="186">
        <v>0.022</v>
      </c>
      <c r="D125" s="175">
        <f>ROUND(F125/D6,2)</f>
        <v>295.22</v>
      </c>
      <c r="E125" s="126"/>
      <c r="F125" s="128">
        <f>'пр.6'!D6</f>
        <v>127533</v>
      </c>
    </row>
    <row r="126" spans="1:6" ht="12.75">
      <c r="A126" s="144" t="s">
        <v>313</v>
      </c>
      <c r="B126" s="130" t="s">
        <v>261</v>
      </c>
      <c r="C126" s="187">
        <v>0.015</v>
      </c>
      <c r="D126" s="176">
        <f>ROUND(F126/D6,2)</f>
        <v>1764.88</v>
      </c>
      <c r="E126" s="130"/>
      <c r="F126" s="140">
        <f>'пр.6'!D7</f>
        <v>762427</v>
      </c>
    </row>
    <row r="127" spans="1:6" ht="12.75">
      <c r="A127" s="188" t="s">
        <v>252</v>
      </c>
      <c r="B127" s="130" t="s">
        <v>261</v>
      </c>
      <c r="C127" s="187"/>
      <c r="D127" s="176">
        <f>ROUND(F127/D6,2)</f>
        <v>0</v>
      </c>
      <c r="E127" s="130"/>
      <c r="F127" s="140">
        <f>'пр.6'!D8</f>
        <v>0</v>
      </c>
    </row>
    <row r="128" spans="1:6" ht="12.75">
      <c r="A128" s="144" t="s">
        <v>444</v>
      </c>
      <c r="B128" s="130" t="s">
        <v>261</v>
      </c>
      <c r="C128" s="187"/>
      <c r="D128" s="176">
        <f>ROUND(F128/D6,2)</f>
        <v>6.02</v>
      </c>
      <c r="E128" s="130"/>
      <c r="F128" s="140">
        <f>'пр.6'!D9</f>
        <v>2600</v>
      </c>
    </row>
    <row r="129" spans="1:6" ht="12.75">
      <c r="A129" s="144" t="s">
        <v>430</v>
      </c>
      <c r="B129" s="130" t="s">
        <v>261</v>
      </c>
      <c r="C129" s="187"/>
      <c r="D129" s="176">
        <f>ROUND(F129/D6,2)</f>
        <v>23.15</v>
      </c>
      <c r="E129" s="130"/>
      <c r="F129" s="140">
        <f>'пр.6'!D10</f>
        <v>10000</v>
      </c>
    </row>
    <row r="130" spans="1:6" ht="12.75">
      <c r="A130" s="144"/>
      <c r="B130" s="130"/>
      <c r="C130" s="187"/>
      <c r="D130" s="176"/>
      <c r="E130" s="130"/>
      <c r="F130" s="140"/>
    </row>
    <row r="131" spans="1:6" ht="12.75">
      <c r="A131" s="144"/>
      <c r="B131" s="130"/>
      <c r="C131" s="187"/>
      <c r="D131" s="176"/>
      <c r="E131" s="130"/>
      <c r="F131" s="140"/>
    </row>
    <row r="132" spans="1:6" ht="12.75">
      <c r="A132" s="144"/>
      <c r="B132" s="130"/>
      <c r="C132" s="187"/>
      <c r="D132" s="176"/>
      <c r="E132" s="130"/>
      <c r="F132" s="140"/>
    </row>
    <row r="133" spans="1:82" s="194" customFormat="1" ht="13.5" thickBot="1">
      <c r="A133" s="189" t="s">
        <v>303</v>
      </c>
      <c r="B133" s="190"/>
      <c r="C133" s="191"/>
      <c r="D133" s="192">
        <f>ROUND(F133/D6,2)</f>
        <v>2089.26</v>
      </c>
      <c r="E133" s="190"/>
      <c r="F133" s="193">
        <f>SUM(F125:F131)</f>
        <v>902560</v>
      </c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</row>
    <row r="134" spans="1:8" ht="19.5" thickBot="1">
      <c r="A134" s="195" t="s">
        <v>314</v>
      </c>
      <c r="B134" s="196"/>
      <c r="C134" s="196"/>
      <c r="D134" s="197">
        <f>D133+D123+D14</f>
        <v>48832.32000000001</v>
      </c>
      <c r="E134" s="198"/>
      <c r="F134" s="199">
        <f>F133+F123+F14</f>
        <v>21095565</v>
      </c>
      <c r="G134" s="316">
        <f>проверка!C6-23203.04</f>
        <v>21095565.000000004</v>
      </c>
      <c r="H134" s="316">
        <f>G134-F134</f>
        <v>0</v>
      </c>
    </row>
    <row r="135" ht="12.75">
      <c r="F135" s="200"/>
    </row>
    <row r="136" ht="12.75">
      <c r="F136" s="201"/>
    </row>
    <row r="137" spans="1:6" ht="12.75">
      <c r="A137" s="69" t="s">
        <v>467</v>
      </c>
      <c r="B137" s="70"/>
      <c r="C137" s="70"/>
      <c r="D137" s="70" t="s">
        <v>462</v>
      </c>
      <c r="E137" s="71"/>
      <c r="F137" s="69"/>
    </row>
    <row r="138" ht="12.75">
      <c r="E138" s="74"/>
    </row>
    <row r="139" ht="12.75">
      <c r="E139" s="74"/>
    </row>
    <row r="140" spans="1:5" ht="12.75">
      <c r="A140" s="56" t="s">
        <v>465</v>
      </c>
      <c r="B140" s="73" t="s">
        <v>468</v>
      </c>
      <c r="D140" s="73" t="s">
        <v>463</v>
      </c>
      <c r="E140" s="75"/>
    </row>
    <row r="141" ht="12.75">
      <c r="A141" s="56"/>
    </row>
  </sheetData>
  <sheetProtection/>
  <mergeCells count="23">
    <mergeCell ref="A108:F108"/>
    <mergeCell ref="A111:F111"/>
    <mergeCell ref="A115:F115"/>
    <mergeCell ref="A27:F27"/>
    <mergeCell ref="A33:F33"/>
    <mergeCell ref="A38:F38"/>
    <mergeCell ref="A44:F44"/>
    <mergeCell ref="A20:F20"/>
    <mergeCell ref="A26:F26"/>
    <mergeCell ref="A124:F124"/>
    <mergeCell ref="A59:F59"/>
    <mergeCell ref="A66:F66"/>
    <mergeCell ref="A73:F73"/>
    <mergeCell ref="A87:F87"/>
    <mergeCell ref="A97:F97"/>
    <mergeCell ref="A98:F98"/>
    <mergeCell ref="A102:F102"/>
    <mergeCell ref="A1:F1"/>
    <mergeCell ref="A2:F2"/>
    <mergeCell ref="A3:F3"/>
    <mergeCell ref="A5:F5"/>
    <mergeCell ref="A9:F9"/>
    <mergeCell ref="A15:F15"/>
  </mergeCells>
  <printOptions/>
  <pageMargins left="0.5905511811023623" right="0.15748031496062992" top="0.03937007874015748" bottom="0" header="0.31496062992125984" footer="0"/>
  <pageSetup horizontalDpi="600" verticalDpi="600" orientation="portrait" paperSize="9" scale="93" r:id="rId1"/>
  <rowBreaks count="1" manualBreakCount="1">
    <brk id="58" max="5" man="1"/>
  </rowBreaks>
  <colBreaks count="1" manualBreakCount="1">
    <brk id="6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7.57421875" style="56" customWidth="1"/>
    <col min="3" max="3" width="15.57421875" style="56" customWidth="1"/>
    <col min="4" max="4" width="18.140625" style="56" customWidth="1"/>
    <col min="5" max="5" width="15.140625" style="56" customWidth="1"/>
    <col min="6" max="6" width="12.57421875" style="56" customWidth="1"/>
    <col min="7" max="16384" width="9.140625" style="56" customWidth="1"/>
  </cols>
  <sheetData>
    <row r="1" spans="6:10" ht="12.75">
      <c r="F1" s="75"/>
      <c r="G1" s="75"/>
      <c r="H1" s="75"/>
      <c r="I1" s="75"/>
      <c r="J1" s="75"/>
    </row>
    <row r="2" spans="1:10" ht="18">
      <c r="A2" s="700" t="s">
        <v>315</v>
      </c>
      <c r="B2" s="700"/>
      <c r="C2" s="700"/>
      <c r="D2" s="700"/>
      <c r="E2" s="700"/>
      <c r="F2" s="75"/>
      <c r="G2" s="75"/>
      <c r="H2" s="75"/>
      <c r="I2" s="75"/>
      <c r="J2" s="75"/>
    </row>
    <row r="3" spans="6:10" ht="12.75">
      <c r="F3" s="75"/>
      <c r="G3" s="75"/>
      <c r="H3" s="75"/>
      <c r="I3" s="75"/>
      <c r="J3" s="75"/>
    </row>
    <row r="4" spans="6:10" ht="12.75">
      <c r="F4" s="75"/>
      <c r="G4" s="75"/>
      <c r="H4" s="75"/>
      <c r="I4" s="75"/>
      <c r="J4" s="75"/>
    </row>
    <row r="5" spans="1:10" ht="12.75">
      <c r="A5" s="95" t="s">
        <v>151</v>
      </c>
      <c r="B5" s="95" t="s">
        <v>316</v>
      </c>
      <c r="C5" s="95" t="s">
        <v>317</v>
      </c>
      <c r="D5" s="95" t="s">
        <v>189</v>
      </c>
      <c r="E5" s="95" t="s">
        <v>318</v>
      </c>
      <c r="F5" s="75"/>
      <c r="G5" s="75"/>
      <c r="H5" s="75"/>
      <c r="I5" s="75"/>
      <c r="J5" s="75"/>
    </row>
    <row r="6" spans="1:10" s="206" customFormat="1" ht="12.75">
      <c r="A6" s="202"/>
      <c r="B6" s="202"/>
      <c r="C6" s="203">
        <f>SUM(C7:C22)</f>
        <v>21118768.040000003</v>
      </c>
      <c r="D6" s="203">
        <f>SUM(D7:D22)</f>
        <v>21095565</v>
      </c>
      <c r="E6" s="203">
        <f>SUM(E7:E22)</f>
        <v>23203.03999999998</v>
      </c>
      <c r="F6" s="204"/>
      <c r="G6" s="205"/>
      <c r="H6" s="205"/>
      <c r="I6" s="205"/>
      <c r="J6" s="205"/>
    </row>
    <row r="7" spans="1:10" s="206" customFormat="1" ht="12.75">
      <c r="A7" s="202">
        <v>211</v>
      </c>
      <c r="B7" s="208" t="s">
        <v>452</v>
      </c>
      <c r="C7" s="334">
        <v>13607029</v>
      </c>
      <c r="D7" s="209">
        <f>свод!F21+свод!F34</f>
        <v>13607029</v>
      </c>
      <c r="E7" s="207">
        <f aca="true" t="shared" si="0" ref="E7:E21">C7-D7</f>
        <v>0</v>
      </c>
      <c r="F7" s="74"/>
      <c r="G7" s="204"/>
      <c r="H7" s="205"/>
      <c r="I7" s="205"/>
      <c r="J7" s="205"/>
    </row>
    <row r="8" spans="1:10" s="206" customFormat="1" ht="12.75">
      <c r="A8" s="202">
        <v>213</v>
      </c>
      <c r="B8" s="208" t="s">
        <v>452</v>
      </c>
      <c r="C8" s="334">
        <v>4109323</v>
      </c>
      <c r="D8" s="209">
        <f>свод!F36+свод!F22</f>
        <v>4109323</v>
      </c>
      <c r="E8" s="207">
        <f t="shared" si="0"/>
        <v>0</v>
      </c>
      <c r="F8" s="205"/>
      <c r="G8" s="205"/>
      <c r="H8" s="205"/>
      <c r="I8" s="205"/>
      <c r="J8" s="205"/>
    </row>
    <row r="9" spans="1:10" s="206" customFormat="1" ht="12.75">
      <c r="A9" s="202">
        <v>226</v>
      </c>
      <c r="B9" s="208" t="s">
        <v>452</v>
      </c>
      <c r="C9" s="334">
        <v>16023</v>
      </c>
      <c r="D9" s="209">
        <f>свод!F12</f>
        <v>16023</v>
      </c>
      <c r="E9" s="207">
        <f t="shared" si="0"/>
        <v>0</v>
      </c>
      <c r="F9" s="205"/>
      <c r="G9" s="205"/>
      <c r="H9" s="205"/>
      <c r="I9" s="205"/>
      <c r="J9" s="205"/>
    </row>
    <row r="10" spans="1:10" s="206" customFormat="1" ht="12.75">
      <c r="A10" s="202">
        <v>310</v>
      </c>
      <c r="B10" s="208" t="s">
        <v>452</v>
      </c>
      <c r="C10" s="334">
        <v>89501</v>
      </c>
      <c r="D10" s="209">
        <f>'пр.1+2 '!D33:E33</f>
        <v>89501</v>
      </c>
      <c r="E10" s="207">
        <f t="shared" si="0"/>
        <v>0</v>
      </c>
      <c r="F10" s="204"/>
      <c r="G10" s="205"/>
      <c r="H10" s="205"/>
      <c r="I10" s="205"/>
      <c r="J10" s="205"/>
    </row>
    <row r="11" spans="1:10" s="206" customFormat="1" ht="12.75">
      <c r="A11" s="202">
        <v>340</v>
      </c>
      <c r="B11" s="208" t="s">
        <v>452</v>
      </c>
      <c r="C11" s="334">
        <v>48511</v>
      </c>
      <c r="D11" s="209">
        <f>'пр.1+2 '!D34:E34</f>
        <v>48511</v>
      </c>
      <c r="E11" s="207">
        <f t="shared" si="0"/>
        <v>0</v>
      </c>
      <c r="F11" s="204"/>
      <c r="G11" s="205"/>
      <c r="H11" s="205"/>
      <c r="I11" s="205"/>
      <c r="J11" s="205"/>
    </row>
    <row r="12" spans="1:10" ht="12.75">
      <c r="A12" s="95">
        <v>211</v>
      </c>
      <c r="B12" s="208" t="s">
        <v>319</v>
      </c>
      <c r="C12" s="334">
        <f>450816+3043.1</f>
        <v>453859.1</v>
      </c>
      <c r="D12" s="207">
        <f>свод!F16+свод!F39</f>
        <v>450816</v>
      </c>
      <c r="E12" s="207">
        <f t="shared" si="0"/>
        <v>3043.0999999999767</v>
      </c>
      <c r="F12" s="74" t="s">
        <v>483</v>
      </c>
      <c r="G12" s="75"/>
      <c r="H12" s="75"/>
      <c r="I12" s="75"/>
      <c r="J12" s="75"/>
    </row>
    <row r="13" spans="1:10" ht="12.75">
      <c r="A13" s="95">
        <v>212</v>
      </c>
      <c r="B13" s="208" t="s">
        <v>319</v>
      </c>
      <c r="C13" s="334">
        <v>600</v>
      </c>
      <c r="D13" s="207">
        <f>свод!F31</f>
        <v>600</v>
      </c>
      <c r="E13" s="207">
        <f t="shared" si="0"/>
        <v>0</v>
      </c>
      <c r="F13" s="75"/>
      <c r="G13" s="75"/>
      <c r="H13" s="75"/>
      <c r="I13" s="75"/>
      <c r="J13" s="75"/>
    </row>
    <row r="14" spans="1:10" ht="12.75">
      <c r="A14" s="95">
        <v>213</v>
      </c>
      <c r="B14" s="208" t="s">
        <v>319</v>
      </c>
      <c r="C14" s="334">
        <v>136146</v>
      </c>
      <c r="D14" s="207">
        <f>свод!F17+свод!F41</f>
        <v>136146</v>
      </c>
      <c r="E14" s="207">
        <f t="shared" si="0"/>
        <v>0</v>
      </c>
      <c r="F14" s="75"/>
      <c r="G14" s="75"/>
      <c r="H14" s="75"/>
      <c r="I14" s="75"/>
      <c r="J14" s="75"/>
    </row>
    <row r="15" spans="1:10" ht="12.75">
      <c r="A15" s="95">
        <v>221</v>
      </c>
      <c r="B15" s="208" t="s">
        <v>319</v>
      </c>
      <c r="C15" s="334">
        <v>7372</v>
      </c>
      <c r="D15" s="207">
        <f>свод!F86</f>
        <v>7372</v>
      </c>
      <c r="E15" s="207">
        <f t="shared" si="0"/>
        <v>0</v>
      </c>
      <c r="F15" s="75"/>
      <c r="G15" s="75"/>
      <c r="H15" s="75"/>
      <c r="I15" s="75"/>
      <c r="J15" s="75"/>
    </row>
    <row r="16" spans="1:10" ht="12.75">
      <c r="A16" s="95">
        <v>222</v>
      </c>
      <c r="B16" s="208" t="s">
        <v>319</v>
      </c>
      <c r="C16" s="210"/>
      <c r="D16" s="207">
        <f>свод!F87</f>
        <v>0</v>
      </c>
      <c r="E16" s="207">
        <f>C16-D16</f>
        <v>0</v>
      </c>
      <c r="F16" s="75"/>
      <c r="G16" s="75"/>
      <c r="H16" s="75"/>
      <c r="I16" s="75"/>
      <c r="J16" s="75"/>
    </row>
    <row r="17" spans="1:10" ht="12.75">
      <c r="A17" s="95">
        <v>223</v>
      </c>
      <c r="B17" s="208" t="s">
        <v>319</v>
      </c>
      <c r="C17" s="334">
        <v>1482368</v>
      </c>
      <c r="D17" s="207">
        <f>свод!F122</f>
        <v>1482368</v>
      </c>
      <c r="E17" s="207">
        <f t="shared" si="0"/>
        <v>0</v>
      </c>
      <c r="F17" s="75"/>
      <c r="G17" s="75"/>
      <c r="H17" s="75"/>
      <c r="I17" s="75"/>
      <c r="J17" s="75"/>
    </row>
    <row r="18" spans="1:10" ht="12.75">
      <c r="A18" s="95">
        <v>224</v>
      </c>
      <c r="B18" s="208" t="s">
        <v>319</v>
      </c>
      <c r="C18" s="210"/>
      <c r="D18" s="207">
        <f>свод!F90</f>
        <v>0</v>
      </c>
      <c r="E18" s="207">
        <f>C18-D18</f>
        <v>0</v>
      </c>
      <c r="F18" s="75"/>
      <c r="G18" s="75"/>
      <c r="H18" s="75"/>
      <c r="I18" s="75"/>
      <c r="J18" s="75"/>
    </row>
    <row r="19" spans="1:10" ht="12.75">
      <c r="A19" s="95">
        <v>225</v>
      </c>
      <c r="B19" s="208" t="s">
        <v>319</v>
      </c>
      <c r="C19" s="334">
        <v>140490</v>
      </c>
      <c r="D19" s="207">
        <f>свод!F45+свод!F46+свод!F47+свод!F48+свод!F99+свод!F100+свод!F51+свод!F52+свод!F56+свод!F57+свод!F53+свод!F54+свод!F55</f>
        <v>140490</v>
      </c>
      <c r="E19" s="207">
        <f t="shared" si="0"/>
        <v>0</v>
      </c>
      <c r="F19" s="75"/>
      <c r="G19" s="75"/>
      <c r="H19" s="75"/>
      <c r="I19" s="75"/>
      <c r="J19" s="75"/>
    </row>
    <row r="20" spans="1:10" ht="12.75">
      <c r="A20" s="95">
        <v>226</v>
      </c>
      <c r="B20" s="208" t="s">
        <v>319</v>
      </c>
      <c r="C20" s="334">
        <f>74826+20159.94</f>
        <v>94985.94</v>
      </c>
      <c r="D20" s="207">
        <f>свод!F49+свод!F50+свод!F88+свод!F89+свод!F110+свод!F95+свод!F92+свод!F93+свод!F91</f>
        <v>74826</v>
      </c>
      <c r="E20" s="207">
        <f t="shared" si="0"/>
        <v>20159.940000000002</v>
      </c>
      <c r="F20" s="75"/>
      <c r="G20" s="75"/>
      <c r="H20" s="75"/>
      <c r="I20" s="75"/>
      <c r="J20" s="75"/>
    </row>
    <row r="21" spans="1:10" ht="12.75">
      <c r="A21" s="95">
        <v>290</v>
      </c>
      <c r="B21" s="208" t="s">
        <v>319</v>
      </c>
      <c r="C21" s="334">
        <v>902560</v>
      </c>
      <c r="D21" s="207">
        <f>свод!F125+свод!F126+свод!F127+свод!F128+свод!F129</f>
        <v>902560</v>
      </c>
      <c r="E21" s="207">
        <f t="shared" si="0"/>
        <v>0</v>
      </c>
      <c r="F21" s="75"/>
      <c r="G21" s="75"/>
      <c r="H21" s="75"/>
      <c r="I21" s="75"/>
      <c r="J21" s="75"/>
    </row>
    <row r="22" spans="1:10" ht="12.75">
      <c r="A22" s="95">
        <v>340</v>
      </c>
      <c r="B22" s="208" t="s">
        <v>319</v>
      </c>
      <c r="C22" s="334">
        <v>30000</v>
      </c>
      <c r="D22" s="207">
        <f>свод!F94</f>
        <v>30000</v>
      </c>
      <c r="E22" s="207">
        <f>C22-D22</f>
        <v>0</v>
      </c>
      <c r="F22" s="75"/>
      <c r="G22" s="75"/>
      <c r="H22" s="75"/>
      <c r="I22" s="75"/>
      <c r="J22" s="75"/>
    </row>
    <row r="23" spans="6:10" ht="12.75">
      <c r="F23" s="75"/>
      <c r="G23" s="75"/>
      <c r="H23" s="75"/>
      <c r="I23" s="75"/>
      <c r="J23" s="75"/>
    </row>
  </sheetData>
  <sheetProtection/>
  <mergeCells count="1">
    <mergeCell ref="A2:E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user</cp:lastModifiedBy>
  <cp:lastPrinted>2014-01-29T13:53:47Z</cp:lastPrinted>
  <dcterms:created xsi:type="dcterms:W3CDTF">2011-03-15T07:37:35Z</dcterms:created>
  <dcterms:modified xsi:type="dcterms:W3CDTF">2014-01-30T05:34:52Z</dcterms:modified>
  <cp:category/>
  <cp:version/>
  <cp:contentType/>
  <cp:contentStatus/>
</cp:coreProperties>
</file>